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50" windowHeight="4500" tabRatio="599" firstSheet="12" activeTab="15"/>
  </bookViews>
  <sheets>
    <sheet name="Andhra" sheetId="1" r:id="rId1"/>
    <sheet name="Bihar" sheetId="2" r:id="rId2"/>
    <sheet name="Chhatisgarh" sheetId="3" r:id="rId3"/>
    <sheet name="Delhi" sheetId="4" r:id="rId4"/>
    <sheet name="Gujarat" sheetId="5" r:id="rId5"/>
    <sheet name="Haryana" sheetId="6" r:id="rId6"/>
    <sheet name="Himachal" sheetId="7" r:id="rId7"/>
    <sheet name="Jharkhand" sheetId="8" r:id="rId8"/>
    <sheet name="Karnataka" sheetId="9" r:id="rId9"/>
    <sheet name="Kerala" sheetId="10" r:id="rId10"/>
    <sheet name="Madhya Pradesh" sheetId="11" r:id="rId11"/>
    <sheet name="Maharashtra" sheetId="12" r:id="rId12"/>
    <sheet name="Orissa" sheetId="13" r:id="rId13"/>
    <sheet name="Punjab" sheetId="14" r:id="rId14"/>
    <sheet name="RAJASTHAN" sheetId="15" r:id="rId15"/>
    <sheet name="TAMILNADU" sheetId="16" r:id="rId16"/>
    <sheet name="Uttar Pradesh" sheetId="17" r:id="rId17"/>
    <sheet name="Uttaranchal" sheetId="18" r:id="rId18"/>
    <sheet name="West Bengal" sheetId="19" r:id="rId19"/>
    <sheet name="All" sheetId="20" r:id="rId20"/>
    <sheet name="Sheet1" sheetId="21" r:id="rId21"/>
  </sheets>
  <definedNames>
    <definedName name="_xlnm.Print_Area" localSheetId="4">'Gujarat'!$A$1:$G$31</definedName>
    <definedName name="_xlnm.Print_Area" localSheetId="12">'Orissa'!$A$1:$G$58</definedName>
  </definedNames>
  <calcPr fullCalcOnLoad="1"/>
</workbook>
</file>

<file path=xl/sharedStrings.xml><?xml version="1.0" encoding="utf-8"?>
<sst xmlns="http://schemas.openxmlformats.org/spreadsheetml/2006/main" count="4530" uniqueCount="1068">
  <si>
    <t>RAILWAY ELECTRIFICATION</t>
  </si>
  <si>
    <t>STATUS OF RAILWAY ELECRIFICATION IN THE STATE OF</t>
  </si>
  <si>
    <t>S. No</t>
  </si>
  <si>
    <t>Section</t>
  </si>
  <si>
    <t>RKM</t>
  </si>
  <si>
    <t>a)</t>
  </si>
  <si>
    <t>b)</t>
  </si>
  <si>
    <t>c)</t>
  </si>
  <si>
    <t>d)</t>
  </si>
  <si>
    <t>Project</t>
  </si>
  <si>
    <t>Balance RKM</t>
  </si>
  <si>
    <t>Target</t>
  </si>
  <si>
    <t>Year</t>
  </si>
  <si>
    <t>1995-96</t>
  </si>
  <si>
    <t>1996-97</t>
  </si>
  <si>
    <t>1997-98</t>
  </si>
  <si>
    <t>1998-99</t>
  </si>
  <si>
    <t>1999-2000</t>
  </si>
  <si>
    <t>2000-01</t>
  </si>
  <si>
    <t>2001-02</t>
  </si>
  <si>
    <t>BG</t>
  </si>
  <si>
    <t>MG</t>
  </si>
  <si>
    <t>NG</t>
  </si>
  <si>
    <t>TOTAL</t>
  </si>
  <si>
    <t>ANDHRA PRADESH</t>
  </si>
  <si>
    <t xml:space="preserve"> 79-80/88-89</t>
  </si>
  <si>
    <t>Waltair-Gorapur</t>
  </si>
  <si>
    <t>82-83</t>
  </si>
  <si>
    <t>Gudur-Tirupathi</t>
  </si>
  <si>
    <t>83-84/84-85</t>
  </si>
  <si>
    <t>Ponpadi-Renigunta</t>
  </si>
  <si>
    <t>84-85</t>
  </si>
  <si>
    <t>e)</t>
  </si>
  <si>
    <t>Krishna-Canal-Guntur-Tenali</t>
  </si>
  <si>
    <t>87-88/88-89</t>
  </si>
  <si>
    <t>f)</t>
  </si>
  <si>
    <t>Guntur-Nallapadu</t>
  </si>
  <si>
    <t>91-92</t>
  </si>
  <si>
    <t>g)</t>
  </si>
  <si>
    <t>Patchur-Bisanathan</t>
  </si>
  <si>
    <t>90-91/93-94</t>
  </si>
  <si>
    <t>Kazipet-Sanatnagar</t>
  </si>
  <si>
    <t>91-92/93-94</t>
  </si>
  <si>
    <t>h)</t>
  </si>
  <si>
    <t>I)</t>
  </si>
  <si>
    <t>94-95</t>
  </si>
  <si>
    <t>j)</t>
  </si>
  <si>
    <t>Vijaywada by pass line-Mustababad</t>
  </si>
  <si>
    <t>k)</t>
  </si>
  <si>
    <t>Mustababad-Bhimadolu</t>
  </si>
  <si>
    <t>95-96</t>
  </si>
  <si>
    <t>l)</t>
  </si>
  <si>
    <t>m)</t>
  </si>
  <si>
    <t>Anakapalle-Vishakhapatnam</t>
  </si>
  <si>
    <t>n)</t>
  </si>
  <si>
    <t>Simachalam(north)-Gopalpatnam</t>
  </si>
  <si>
    <t>o)</t>
  </si>
  <si>
    <t>p)</t>
  </si>
  <si>
    <t>Balance portion of Motumari-Jaggayyapet</t>
  </si>
  <si>
    <t>q)</t>
  </si>
  <si>
    <t>Bhimadolu-Rajahmundry</t>
  </si>
  <si>
    <t>96-97</t>
  </si>
  <si>
    <t>Samalkot-Anakapalle</t>
  </si>
  <si>
    <t>r)</t>
  </si>
  <si>
    <t>s)</t>
  </si>
  <si>
    <t>97-98</t>
  </si>
  <si>
    <t>t)</t>
  </si>
  <si>
    <t>u)</t>
  </si>
  <si>
    <t>Alamanda-Srikakulam Road</t>
  </si>
  <si>
    <t>98-99</t>
  </si>
  <si>
    <t>v)</t>
  </si>
  <si>
    <t>Palasa-Tilaru</t>
  </si>
  <si>
    <t>w)</t>
  </si>
  <si>
    <t>x)</t>
  </si>
  <si>
    <t>Palasa-Ichhapuram</t>
  </si>
  <si>
    <t>y)</t>
  </si>
  <si>
    <t>Srikakulamroad-Tilaru</t>
  </si>
  <si>
    <t>Sr.No.</t>
  </si>
  <si>
    <t>RKM energised</t>
  </si>
  <si>
    <t>Proportionate</t>
  </si>
  <si>
    <t>anticipated cost</t>
  </si>
  <si>
    <t>(Rs. in crore)</t>
  </si>
  <si>
    <t>Total</t>
  </si>
  <si>
    <t>ii)</t>
  </si>
  <si>
    <t>(Part of which 161 RKM, falls in Andhra Pradesh)</t>
  </si>
  <si>
    <t>(Part of which 122 RKM falls in Andhra Pradesh)</t>
  </si>
  <si>
    <t>iii)</t>
  </si>
  <si>
    <t>(Part of which 102 RKM falls in Andhra Pradesh)</t>
  </si>
  <si>
    <t>V</t>
  </si>
  <si>
    <t>EXPENDITURE FOR ELECTRIFICATION</t>
  </si>
  <si>
    <t>Rs. in crores</t>
  </si>
  <si>
    <t>KILOMETRES</t>
  </si>
  <si>
    <t>ELECTRIFIED</t>
  </si>
  <si>
    <t>ELECTRIFIED RKM AS</t>
  </si>
  <si>
    <t>S.No.</t>
  </si>
  <si>
    <t>Year of energisation</t>
  </si>
  <si>
    <t>60-61/62-63</t>
  </si>
  <si>
    <t>b</t>
  </si>
  <si>
    <t>60-61</t>
  </si>
  <si>
    <t>61-62</t>
  </si>
  <si>
    <t>62-63</t>
  </si>
  <si>
    <t>65-66</t>
  </si>
  <si>
    <t>Padapahar-Deojhar</t>
  </si>
  <si>
    <t>66-67</t>
  </si>
  <si>
    <t>Bhojudih-Mahuda-Gomoh</t>
  </si>
  <si>
    <t>85-86</t>
  </si>
  <si>
    <t>Chandrapura Complex</t>
  </si>
  <si>
    <t>86-87</t>
  </si>
  <si>
    <t>Tupkadih-Talgaria</t>
  </si>
  <si>
    <t>87-88</t>
  </si>
  <si>
    <t>92-93</t>
  </si>
  <si>
    <t>93-94</t>
  </si>
  <si>
    <t>Chitranjan-Jamtara</t>
  </si>
  <si>
    <t>Mohuda-Karkand</t>
  </si>
  <si>
    <t>Satbahinbi-Untari Road</t>
  </si>
  <si>
    <t>Tori-Patratu-Barkakana-Danea</t>
  </si>
  <si>
    <t>Chandil-Gonda Bihar-Tiruldih</t>
  </si>
  <si>
    <t>Karkend-Jamadoba</t>
  </si>
  <si>
    <t>Barkakhana-Ramgarh Halt</t>
  </si>
  <si>
    <t>Danea-Gumia-Jaragndih</t>
  </si>
  <si>
    <t>BKSC-Raddhagaon</t>
  </si>
  <si>
    <t>Ilu-Ramgarh Ghat</t>
  </si>
  <si>
    <t>Halt</t>
  </si>
  <si>
    <t>z)</t>
  </si>
  <si>
    <t>Nargunjoo-Jhajha</t>
  </si>
  <si>
    <t>Mokama-Fatuaha</t>
  </si>
  <si>
    <t>Jarangdih-Phusro</t>
  </si>
  <si>
    <t>Radhagaon--Pundag</t>
  </si>
  <si>
    <t>Muri-Kita</t>
  </si>
  <si>
    <t>Karampada-Kiriburu</t>
  </si>
  <si>
    <t>Kiul-Mankantha</t>
  </si>
  <si>
    <t>Mokama-Barhiya</t>
  </si>
  <si>
    <t>Fatuha-Danapur</t>
  </si>
  <si>
    <t>IV</t>
  </si>
  <si>
    <t>NIL</t>
  </si>
  <si>
    <t>YEAR</t>
  </si>
  <si>
    <t>Rs. in crore</t>
  </si>
  <si>
    <t>Date: 31.3.2000</t>
  </si>
  <si>
    <t>ROUTE KILOMETRES</t>
  </si>
  <si>
    <t>II</t>
  </si>
  <si>
    <t>a</t>
  </si>
  <si>
    <t>72-73/74-75</t>
  </si>
  <si>
    <t>Godhra-Anand</t>
  </si>
  <si>
    <t>83-84</t>
  </si>
  <si>
    <t>c</t>
  </si>
  <si>
    <t>Vadodra-Nahargfarh</t>
  </si>
  <si>
    <t>d</t>
  </si>
  <si>
    <t>Sabarmati-Chandlodiya</t>
  </si>
  <si>
    <t>e</t>
  </si>
  <si>
    <t>Chandlodiya-Gandhinagar</t>
  </si>
  <si>
    <t>f</t>
  </si>
  <si>
    <t>Udhna-Chelthan</t>
  </si>
  <si>
    <t>III</t>
  </si>
  <si>
    <t xml:space="preserve">RKM in </t>
  </si>
  <si>
    <t>SURVEY FOR ELECTRIFICATION;</t>
  </si>
  <si>
    <t>PERCENTAGE</t>
  </si>
  <si>
    <t>Tughlakabad-Hodal</t>
  </si>
  <si>
    <t>Narela-Sonepat</t>
  </si>
  <si>
    <t>Sonipat-Karnal</t>
  </si>
  <si>
    <t>Karnal-Ambala City</t>
  </si>
  <si>
    <t>Panipat-Khukrana</t>
  </si>
  <si>
    <t>including Asan siding</t>
  </si>
  <si>
    <t>g</t>
  </si>
  <si>
    <t>h</t>
  </si>
  <si>
    <t>Ambala-Dhulkot and Ghaggar</t>
  </si>
  <si>
    <t>I</t>
  </si>
  <si>
    <t>Chandigarh-Kalka</t>
  </si>
  <si>
    <t>nil</t>
  </si>
  <si>
    <t>PRESENT STATUS OF ELECTRIFICATION ON VARIOUS GAUGE</t>
  </si>
  <si>
    <t>ELECTRIFIED RKM</t>
  </si>
  <si>
    <t>AS PERCENTAGE</t>
  </si>
  <si>
    <t>Bangalore-Bisanathan</t>
  </si>
  <si>
    <t>v</t>
  </si>
  <si>
    <t>ii</t>
  </si>
  <si>
    <t>Walayar-Shoranur</t>
  </si>
  <si>
    <t>RKM in Kerala</t>
  </si>
  <si>
    <t>Balance</t>
  </si>
  <si>
    <t>SURVEY FOR ELECTRIFICATION</t>
  </si>
  <si>
    <t>Jamga-Bortalao</t>
  </si>
  <si>
    <t>69-70/89-90</t>
  </si>
  <si>
    <t>80-81/81-82</t>
  </si>
  <si>
    <t>Hetampur-Datia</t>
  </si>
  <si>
    <t>85-86/86-87</t>
  </si>
  <si>
    <t>85-86/86-87/87-88</t>
  </si>
  <si>
    <t>89-90/90-91/91-92</t>
  </si>
  <si>
    <t>90-91/91-92</t>
  </si>
  <si>
    <t>Bombay-Suburban Area</t>
  </si>
  <si>
    <t>1925-60</t>
  </si>
  <si>
    <t>Igatpuri-Bhusaval-Burhanpur</t>
  </si>
  <si>
    <t>68-69/91-92</t>
  </si>
  <si>
    <t>Gholvad-Virar</t>
  </si>
  <si>
    <t>74-75</t>
  </si>
  <si>
    <t>Trombay-Kurla</t>
  </si>
  <si>
    <t>75-76</t>
  </si>
  <si>
    <t>Diva-Vasai</t>
  </si>
  <si>
    <t>Bhusaval-Wardha</t>
  </si>
  <si>
    <t>Makudi-Darimeta</t>
  </si>
  <si>
    <t>Nagpur-Bortalao</t>
  </si>
  <si>
    <t>Diva-Panvel</t>
  </si>
  <si>
    <t>Badnera-Amravati</t>
  </si>
  <si>
    <t>Jalamb-Khamgaon</t>
  </si>
  <si>
    <t>Butibori-Umrer</t>
  </si>
  <si>
    <t>Tadali-Ghugus</t>
  </si>
  <si>
    <t>Majri-Rajur</t>
  </si>
  <si>
    <t>Manikgarh-Godchandur</t>
  </si>
  <si>
    <t>90-91</t>
  </si>
  <si>
    <t>88-89/90-91</t>
  </si>
  <si>
    <t>SURVEY FOR ELECTRIFICATION:</t>
  </si>
  <si>
    <t>year</t>
  </si>
  <si>
    <t>Rourkela-Birmitrapur</t>
  </si>
  <si>
    <t>64-65</t>
  </si>
  <si>
    <t>Jaraikela-Rourkela-Jamga</t>
  </si>
  <si>
    <t>61-62/68-69</t>
  </si>
  <si>
    <t>Kotpur Road--Koraput-Gorapur</t>
  </si>
  <si>
    <t>81-82</t>
  </si>
  <si>
    <t>Koraput-Damajodi</t>
  </si>
  <si>
    <t>88-89</t>
  </si>
  <si>
    <t>Dumetra Yard</t>
  </si>
  <si>
    <t>Bondamunda-Chandiposh</t>
  </si>
  <si>
    <t>Chandiposh-Bimlagarh-Barsuan</t>
  </si>
  <si>
    <t>Bimlagaqrh-Rangra</t>
  </si>
  <si>
    <t>Rangra-Kiriburu</t>
  </si>
  <si>
    <t>Bondamunda Yard</t>
  </si>
  <si>
    <t>Meramandoli-Talcher</t>
  </si>
  <si>
    <t>Bhadrak-Kenduapada</t>
  </si>
  <si>
    <t>Ichhapuram-Behrampur</t>
  </si>
  <si>
    <t>99-2000</t>
  </si>
  <si>
    <t>Mar.2002</t>
  </si>
  <si>
    <t>Mar. 2003.</t>
  </si>
  <si>
    <t>Mar 2003.</t>
  </si>
  <si>
    <t>Cost-cum-feasibuility survey for electrification of the following section has been completed.</t>
  </si>
  <si>
    <t>Koraput-Rayagada-Vijianagaram</t>
  </si>
  <si>
    <t>288 RKM (Part of which 159 RKM falls in Orissa).</t>
  </si>
  <si>
    <t>62 (Allotment)</t>
  </si>
  <si>
    <t>STATUS OF ELECTRIFICATION IN THE STATE OF PUNJAB</t>
  </si>
  <si>
    <t>PRESENT STATUS OF ELECTRIFICATION ON VARIOUS GAUGE:</t>
  </si>
  <si>
    <t>MH</t>
  </si>
  <si>
    <t>ELECTRIFICATION SCHEMES COMPLETED IN THE STATE OF PUNJAB</t>
  </si>
  <si>
    <t>Shambhu-Mandi</t>
  </si>
  <si>
    <t>Govindgarh</t>
  </si>
  <si>
    <t>Mandi Govindgarh</t>
  </si>
  <si>
    <t>Ludhiana</t>
  </si>
  <si>
    <t>Dhulkot-Ghaggar</t>
  </si>
  <si>
    <t>Sirhind-Morinda</t>
  </si>
  <si>
    <t>Morinda-Ropar</t>
  </si>
  <si>
    <t>RTP siding</t>
  </si>
  <si>
    <t>APPROVED RAILWAY ELECTRIFICATION WORKS IN PUNJAB</t>
  </si>
  <si>
    <t>RKM in Punjab</t>
  </si>
  <si>
    <t>Sr,No.</t>
  </si>
  <si>
    <t>Sirhind-Nangaldam</t>
  </si>
  <si>
    <t>Branch line</t>
  </si>
  <si>
    <t>Ludhiana-Amritsar</t>
  </si>
  <si>
    <t>With the completion of above electrification works total electrified RKM in the state of Punjab</t>
  </si>
  <si>
    <t>would be 196+205=401 I.e. 19.18% of the BG tracks</t>
  </si>
  <si>
    <t>SURFVEY FOR ELECTRIFICATION:</t>
  </si>
  <si>
    <t>cost-cum-feasibil;ity survey for electrification of the following sections have been completed.</t>
  </si>
  <si>
    <t>Jallandhar-Jammu Tavi 223 RKM (133 RKM Jallandhar-Madhopur falls in Punjab)</t>
  </si>
  <si>
    <t>26 (Allotment)</t>
  </si>
  <si>
    <t>STATE OF ELECTRIFICATION IN THE STATE OF RAJASTHAN</t>
  </si>
  <si>
    <t>PRESENT STATUS OF ELECTRIFICATION ON VARIOUS GAUGE :</t>
  </si>
  <si>
    <t>ELEC TRIFIED RKM AS</t>
  </si>
  <si>
    <t>ELECTRIFICATION SCHEMES COMPLETED IN THE STATE OF RAJASTHAN</t>
  </si>
  <si>
    <t>Jajau-Hetampur</t>
  </si>
  <si>
    <t>Ranikund-Rarah</t>
  </si>
  <si>
    <t>Dhounkheri</t>
  </si>
  <si>
    <t>85-86/87-88</t>
  </si>
  <si>
    <t>Bhawanimandi-Kurlasi</t>
  </si>
  <si>
    <t>Choumahaola-Thuria</t>
  </si>
  <si>
    <t>Bayana-Aulenda</t>
  </si>
  <si>
    <t>89-90</t>
  </si>
  <si>
    <t>APPROVED RAILWAY ELECTRIFICATION WORKS IN RAJASTHAN</t>
  </si>
  <si>
    <t>Cost-cum feasibility survey for electrification of the following sections have beenb completed.</t>
  </si>
  <si>
    <t>Bina-Kota-Chittorgarh 469 RKM(Part of which 317 RKM falls in Rajasthan).</t>
  </si>
  <si>
    <t>EXPENDITURE FOR ELECTRIFICATION:</t>
  </si>
  <si>
    <t>NIL(ALLOTMENT)</t>
  </si>
  <si>
    <t>31.3.2000</t>
  </si>
  <si>
    <t xml:space="preserve">STATUS OF ELECTRIFICATION IN THE STATE OF </t>
  </si>
  <si>
    <t>TAMIL NADU</t>
  </si>
  <si>
    <t>PRESENT STATUS OF ELECTRIFICATION ON VARTIOUS GAUGE</t>
  </si>
  <si>
    <t xml:space="preserve">ELECTRIFIED RKM AS </t>
  </si>
  <si>
    <t>ELECTRIFICATION SCHEMES COMPLETED IN THE STATE OF TAMILNADU</t>
  </si>
  <si>
    <t>Madras Beach-Tambaram</t>
  </si>
  <si>
    <t>year of energisation</t>
  </si>
  <si>
    <t>Pre independence</t>
  </si>
  <si>
    <t>Madras-Villupuram</t>
  </si>
  <si>
    <t>Madras-Ilayar</t>
  </si>
  <si>
    <t>79-80</t>
  </si>
  <si>
    <t>Madras-Salem Incl. Metturdam</t>
  </si>
  <si>
    <t>79-80/90-91</t>
  </si>
  <si>
    <t>Jolarpattai-Potchur</t>
  </si>
  <si>
    <t>Arakonam-Tirutani-Ponpadi</t>
  </si>
  <si>
    <t>Salem-Erode</t>
  </si>
  <si>
    <t>Erode-Walayar</t>
  </si>
  <si>
    <t>Salem-Salem Market</t>
  </si>
  <si>
    <t>APPROVED RAILWAY ELECTRIFICATION WORKS IN TAMIL NADU</t>
  </si>
  <si>
    <t>RKM in MADRAS</t>
  </si>
  <si>
    <t>TARGET</t>
  </si>
  <si>
    <t>Tambaram-Chengalpattu-</t>
  </si>
  <si>
    <t>Villupuram &amp;</t>
  </si>
  <si>
    <t>Chengalpattu-Arakkonam</t>
  </si>
  <si>
    <t>Mar.2003</t>
  </si>
  <si>
    <t>With the completion of above electrification works total BG electrified RKM in the state of Tamilnadu</t>
  </si>
  <si>
    <t>would be 668+197=865 I.e. 43.80% of the BG</t>
  </si>
  <si>
    <t>IV.</t>
  </si>
  <si>
    <t>Coimbatore-Udagamandalam section (62 RKM) is sanctioned.</t>
  </si>
  <si>
    <t>15 (Allotment)</t>
  </si>
  <si>
    <t>STATUS OF ELECTRIFICATION IN THE STATE OF UTTAR PRADESH</t>
  </si>
  <si>
    <t>ROUTE</t>
  </si>
  <si>
    <t>ELECTRIFIED  RKM AS</t>
  </si>
  <si>
    <t>ELECTRIFICATION SCHEMES COMPLETED IN THE STATE OF UTTAR PRADESH</t>
  </si>
  <si>
    <t>Saidraja-Sahibabad</t>
  </si>
  <si>
    <t>62-63/76-77</t>
  </si>
  <si>
    <t>Hodel-Jajau</t>
  </si>
  <si>
    <t>Mathura-Ranikund Rara</t>
  </si>
  <si>
    <t>Datia-Basai</t>
  </si>
  <si>
    <t>86-87/87-88</t>
  </si>
  <si>
    <t>Matatila-Jiren-Jakhloan</t>
  </si>
  <si>
    <t>Tundla-Aulenda</t>
  </si>
  <si>
    <t>88-90/90-91</t>
  </si>
  <si>
    <t>Saraswa-Saharanpur</t>
  </si>
  <si>
    <t>Saharanpur Stn</t>
  </si>
  <si>
    <t>Kanpur Bridge-Unnao</t>
  </si>
  <si>
    <t>Mughalsarai-Kuchman</t>
  </si>
  <si>
    <t>Kuchhman-Dildarnagar</t>
  </si>
  <si>
    <t>Saharanpur-Khanalampura</t>
  </si>
  <si>
    <t>Kanpur-Kanpur Bridge</t>
  </si>
  <si>
    <t>Unnao-Lucknow</t>
  </si>
  <si>
    <t>APPROVED RAILWAY ELECTRIFICATION WORKS IN UTTAR PRADESH</t>
  </si>
  <si>
    <t>Uttar Pradesh</t>
  </si>
  <si>
    <t>Sarsva-Moradabad</t>
  </si>
  <si>
    <t>(Part of Ambala</t>
  </si>
  <si>
    <t>Moradabad</t>
  </si>
  <si>
    <t>Mar.03</t>
  </si>
  <si>
    <t>Barkalan-</t>
  </si>
  <si>
    <t>Mughalsarai</t>
  </si>
  <si>
    <t>Part of Sitarampur</t>
  </si>
  <si>
    <t>Khurja-Meerut-</t>
  </si>
  <si>
    <t>Saharanpur</t>
  </si>
  <si>
    <t xml:space="preserve">       -</t>
  </si>
  <si>
    <t>Pended</t>
  </si>
  <si>
    <t>Zafarabad</t>
  </si>
  <si>
    <t>(As phase I of</t>
  </si>
  <si>
    <t>Lucknow via</t>
  </si>
  <si>
    <t>Sultanpur)</t>
  </si>
  <si>
    <t>With the completion of above electrificationworkstotalelectrified RKM in the</t>
  </si>
  <si>
    <t>state of Uttar Pradesh would be 1336+276=1612  I.e. 22.99% of the BG</t>
  </si>
  <si>
    <t>Cost-cum-feasibility survey for electrification of the following sections have been completed:</t>
  </si>
  <si>
    <t>Itarsi-Allahabad (Part Section of 108 RKM falls in Uttar Pradesh)</t>
  </si>
  <si>
    <t>Moradabad-Lucknow-Mughalsarai</t>
  </si>
  <si>
    <t>Saharanpur-Ghaziabad</t>
  </si>
  <si>
    <t>Shahdara-Shamli-Saharanpur</t>
  </si>
  <si>
    <t>33 (Allotment)</t>
  </si>
  <si>
    <t>STATUS OFELECTRIFICATION IN THE STATE OF WEST BENGAL</t>
  </si>
  <si>
    <t>ELECTRIFICATION SCHEMES COMPLETED IN THE STATE OF WEST BENGAL</t>
  </si>
  <si>
    <t>Howrah-Sheoraphuli-Tarakeshwar</t>
  </si>
  <si>
    <t>heorapalli-Burdwan</t>
  </si>
  <si>
    <t xml:space="preserve">57-58,converted toAC </t>
  </si>
  <si>
    <t>in 65-66-67-68</t>
  </si>
  <si>
    <t>Kumardhubi-Waria-Burdwan</t>
  </si>
  <si>
    <t>60-61/64-65</t>
  </si>
  <si>
    <t>Asansol-Purulia-Birmahdihdih</t>
  </si>
  <si>
    <t>Damodar-Kalipahari</t>
  </si>
  <si>
    <t>Chkulia-Tikiapara-Howrah</t>
  </si>
  <si>
    <t>62-63/68-69</t>
  </si>
  <si>
    <t>Sealdah-Ranaghat-Shantipur</t>
  </si>
  <si>
    <t>63-64</t>
  </si>
  <si>
    <t>Dumdum-Barasat-Bangaon</t>
  </si>
  <si>
    <t>Damodar-Radhanagar</t>
  </si>
  <si>
    <t>Ramkanali-Chaurasi-Adra</t>
  </si>
  <si>
    <t>Kalianarainpur-Krishnanagar</t>
  </si>
  <si>
    <t>Dumdum-Kumardhubi-Belmuri</t>
  </si>
  <si>
    <t>Dumdum-Chitpur Yard</t>
  </si>
  <si>
    <t>Bundel-Naihati,Belmuri-Shaktinagar</t>
  </si>
  <si>
    <t>Sealdah-Hotar-Kakurgachi</t>
  </si>
  <si>
    <t>Anara-Santaldih-</t>
  </si>
  <si>
    <t>Jaichandipahar-Adra</t>
  </si>
  <si>
    <t>Hotar-Diamond Harbour</t>
  </si>
  <si>
    <t>Baruipur-Lakshmikantpur</t>
  </si>
  <si>
    <t>Suburban Area</t>
  </si>
  <si>
    <t>70-71</t>
  </si>
  <si>
    <t>Andul-Dankuni</t>
  </si>
  <si>
    <t>71-72</t>
  </si>
  <si>
    <t>Panskura-Durgachak-Haldia</t>
  </si>
  <si>
    <t>74-75/75-76</t>
  </si>
  <si>
    <t>Kalyani-Senanta</t>
  </si>
  <si>
    <t>Sealdah Area</t>
  </si>
  <si>
    <t>76-77/77-78</t>
  </si>
  <si>
    <t>Howrah-Amta,Kharagpur</t>
  </si>
  <si>
    <t>Midnapur</t>
  </si>
  <si>
    <t>Bandel-Dhatrigram</t>
  </si>
  <si>
    <t>Kulpi-Karanjali</t>
  </si>
  <si>
    <t>Sitarampur-Chitranjan</t>
  </si>
  <si>
    <t>Dhatrigram-Katwa</t>
  </si>
  <si>
    <t>Karanjali-Nishchintapur</t>
  </si>
  <si>
    <t>Tiruldih-Ilu</t>
  </si>
  <si>
    <t>Adra-Bheduasole</t>
  </si>
  <si>
    <t>Nischintpur-Kashipur</t>
  </si>
  <si>
    <t>Pungag-Muri</t>
  </si>
  <si>
    <t>Purulia-Kotshila</t>
  </si>
  <si>
    <t>Bheduasole-Salboni</t>
  </si>
  <si>
    <t>Hijli-Bhakrabad</t>
  </si>
  <si>
    <t>Salboni-Midnapur</t>
  </si>
  <si>
    <t>APPROVED RAILWAY ELECTRIFICATIONWORKS INWEST BENGAL</t>
  </si>
  <si>
    <t>West Bengal</t>
  </si>
  <si>
    <t>Kharagpur-Danton</t>
  </si>
  <si>
    <t>(Part of KGP-BBS)</t>
  </si>
  <si>
    <t>Ranaghat-Gede</t>
  </si>
  <si>
    <t>Mar.01</t>
  </si>
  <si>
    <t>Ranaghat-Bongaon</t>
  </si>
  <si>
    <t>Barsat-Hosnabad</t>
  </si>
  <si>
    <t>Mar.02</t>
  </si>
  <si>
    <t>Krishnanagar-Lalgola</t>
  </si>
  <si>
    <t>With the completion of above electrification works total electrified RKM in the state of West Bengal would be</t>
  </si>
  <si>
    <t>1662+288=1950 I.e. 64.87% of the BG tracks.</t>
  </si>
  <si>
    <t>SURVEY FOR ELECTRIFICATION :</t>
  </si>
  <si>
    <t>1. Cost-cum-feasibility survey for electrification of Katwa-Azimganj (78 RKM) has been completed.  The survey report is yet awaited from Eastern Railway.</t>
  </si>
  <si>
    <t>29 (Allotment)</t>
  </si>
  <si>
    <t>ANNEXURE B4</t>
  </si>
  <si>
    <t>ELECTRIFICATION OF BINA-KATNI  SECTION OF CENTRAL  RAILWAY (REVISED FOR CAG)</t>
  </si>
  <si>
    <t>-</t>
  </si>
  <si>
    <t>NORMS:-</t>
  </si>
  <si>
    <t>ITEM</t>
  </si>
  <si>
    <t>UNIT</t>
  </si>
  <si>
    <t>RATE</t>
  </si>
  <si>
    <t>Remarks/</t>
  </si>
  <si>
    <t>Elect</t>
  </si>
  <si>
    <t>Diesel</t>
  </si>
  <si>
    <t>Reference</t>
  </si>
  <si>
    <t>1.COST NORMS:</t>
  </si>
  <si>
    <t>i.Cost of LOCO</t>
  </si>
  <si>
    <t>Each</t>
  </si>
  <si>
    <t xml:space="preserve">  (Rs.lakhs)</t>
  </si>
  <si>
    <t>"</t>
  </si>
  <si>
    <t>ii.Cost of P.pack</t>
  </si>
  <si>
    <t>_</t>
  </si>
  <si>
    <t>iii.Cost of LOCO shed</t>
  </si>
  <si>
    <t>per loco</t>
  </si>
  <si>
    <t>iv.Price of:</t>
  </si>
  <si>
    <t xml:space="preserve"> </t>
  </si>
  <si>
    <t xml:space="preserve">  (a) HSD oil(Rs)</t>
  </si>
  <si>
    <t>k.lit</t>
  </si>
  <si>
    <t xml:space="preserve">  (b)Electricity(Rs)</t>
  </si>
  <si>
    <t>KWH</t>
  </si>
  <si>
    <t xml:space="preserve">  (c) Lubricant(Rs)</t>
  </si>
  <si>
    <t>litr</t>
  </si>
  <si>
    <t>v.Repair &amp; Maiantenance of:</t>
  </si>
  <si>
    <t xml:space="preserve">  (a) Fixed Assets</t>
  </si>
  <si>
    <t>per km</t>
  </si>
  <si>
    <t xml:space="preserve">    (Rs in thus)</t>
  </si>
  <si>
    <t xml:space="preserve">  (b) Locomotives</t>
  </si>
  <si>
    <t>per  1000</t>
  </si>
  <si>
    <t xml:space="preserve">    (Rs.in lUnits)</t>
  </si>
  <si>
    <t>GTKM</t>
  </si>
  <si>
    <t>B. CONSUMPTION NORMS:</t>
  </si>
  <si>
    <t>vi. Fuel/Energy consumption:</t>
  </si>
  <si>
    <t>*</t>
  </si>
  <si>
    <t xml:space="preserve">   (a) Goods</t>
  </si>
  <si>
    <t>per 1000</t>
  </si>
  <si>
    <t xml:space="preserve">   (b) M/EXP</t>
  </si>
  <si>
    <t xml:space="preserve">  (c) Passenger</t>
  </si>
  <si>
    <t>vii. LUBRICANT CONSUMPTION</t>
  </si>
  <si>
    <t>Lts/100</t>
  </si>
  <si>
    <t>EKM</t>
  </si>
  <si>
    <t xml:space="preserve">   (b) M/EXP/PASS</t>
  </si>
  <si>
    <t xml:space="preserve">(*)A 2% reduction has to be made from this figure to account </t>
  </si>
  <si>
    <t>for consumption of electricity for cls ,repeater station,stn</t>
  </si>
  <si>
    <t>lighting etc.</t>
  </si>
  <si>
    <t>|::</t>
  </si>
  <si>
    <t>INPUT DATA</t>
  </si>
  <si>
    <t>RKM-</t>
  </si>
  <si>
    <t>TKM-702</t>
  </si>
  <si>
    <t/>
  </si>
  <si>
    <t>Cost  of Works</t>
  </si>
  <si>
    <t>ELS</t>
  </si>
  <si>
    <t>exp</t>
  </si>
  <si>
    <t>credit</t>
  </si>
  <si>
    <t>net</t>
  </si>
  <si>
    <t>Loco requirement</t>
  </si>
  <si>
    <t>Goods</t>
  </si>
  <si>
    <t>M/EXP/PASS</t>
  </si>
  <si>
    <t>GTKM in Million</t>
  </si>
  <si>
    <t>Pass</t>
  </si>
  <si>
    <t>M/EXP</t>
  </si>
  <si>
    <t>GTKM in million</t>
  </si>
  <si>
    <t>M/EXP  &amp;</t>
  </si>
  <si>
    <t>PASS</t>
  </si>
  <si>
    <t>1.Rate of Discount</t>
  </si>
  <si>
    <t>At 12 %</t>
  </si>
  <si>
    <t>2.Rate of Discount</t>
  </si>
  <si>
    <t>At 13 %</t>
  </si>
  <si>
    <t>PRESENT VALUE OF WORKS-(figure in Rs.Lakhs)</t>
  </si>
  <si>
    <t>STATEMENT-1</t>
  </si>
  <si>
    <t>PRESENT DAY COST OF WORKS</t>
  </si>
  <si>
    <t>COST OF WORKS</t>
  </si>
  <si>
    <t>rate of discount</t>
  </si>
  <si>
    <t xml:space="preserve">  </t>
  </si>
  <si>
    <t>Elec.</t>
  </si>
  <si>
    <t>Credit</t>
  </si>
  <si>
    <t>Net</t>
  </si>
  <si>
    <t>PWP</t>
  </si>
  <si>
    <t>Elec</t>
  </si>
  <si>
    <t>(-) 5</t>
  </si>
  <si>
    <t>(-) 4</t>
  </si>
  <si>
    <t>(-) 3</t>
  </si>
  <si>
    <t>(-) 2</t>
  </si>
  <si>
    <t>(-) 1</t>
  </si>
  <si>
    <t>(+) 1</t>
  </si>
  <si>
    <t>(+) 2</t>
  </si>
  <si>
    <t>Replacement of assets</t>
  </si>
  <si>
    <t>*21</t>
  </si>
  <si>
    <t>PRESENT VALUE OF COST OF LOCOMOTIVES  :-</t>
  </si>
  <si>
    <t>STATEMENT-2</t>
  </si>
  <si>
    <t>LOCO REQUIRMENT</t>
  </si>
  <si>
    <t>COST OF</t>
  </si>
  <si>
    <t>PRESENT VALUE OF  COST OF LOCOMOTIVES</t>
  </si>
  <si>
    <t>LOCOMOTIVES</t>
  </si>
  <si>
    <t>PWF</t>
  </si>
  <si>
    <t>Replacement of Power Pack</t>
  </si>
  <si>
    <t>PRESENT  COST OF FUEL / ENERGY  :-</t>
  </si>
  <si>
    <t>STATEMENT-3</t>
  </si>
  <si>
    <t>BREAK UP OF COST OF FUEL / ENERGY</t>
  </si>
  <si>
    <t>GTKM (in millions)</t>
  </si>
  <si>
    <t>Fuel energy consumption</t>
  </si>
  <si>
    <t>Cost of fuel/energy(Rs.lakhs)</t>
  </si>
  <si>
    <t>Present value of cost of fuel / energy.</t>
  </si>
  <si>
    <t>GOODS</t>
  </si>
  <si>
    <t>ELECT</t>
  </si>
  <si>
    <t>ElecT.</t>
  </si>
  <si>
    <t>energy(1000KWH)</t>
  </si>
  <si>
    <t>oil(KL)</t>
  </si>
  <si>
    <t>@1.72 (Rs./kwh)</t>
  </si>
  <si>
    <t>@Rs.6500.00/KL</t>
  </si>
  <si>
    <t>NET PWF</t>
  </si>
  <si>
    <t>PRESENT  DAY COST OF LUBRICANTS  :-</t>
  </si>
  <si>
    <t>STATEMENT-4</t>
  </si>
  <si>
    <t>BREAK UP OF COST OF LUBRICANTS</t>
  </si>
  <si>
    <t>EKM/Annum(in 000)</t>
  </si>
  <si>
    <t>Lubricant consumption (KL)</t>
  </si>
  <si>
    <t>Cost of lubricant(Rs.Lakhs)</t>
  </si>
  <si>
    <t>Coaching</t>
  </si>
  <si>
    <t>PRESENT  DAY COST OF Loco MAINTENANCE  (Based on GTKM norms)</t>
  </si>
  <si>
    <t>STATEMENT-5A</t>
  </si>
  <si>
    <t>(RS.in Lakhs)</t>
  </si>
  <si>
    <t>GTKM in thousand</t>
  </si>
  <si>
    <t xml:space="preserve">Annual Maintinance </t>
  </si>
  <si>
    <t>PRESENT VALUE OF LOCO MAINTANCE.</t>
  </si>
  <si>
    <t>(Pass,M/Exp &amp; Goods)</t>
  </si>
  <si>
    <t>cost (Rs. in Lakhs)</t>
  </si>
  <si>
    <t>Elect@8.91</t>
  </si>
  <si>
    <t>Diesel@12.49</t>
  </si>
  <si>
    <t>99-00</t>
  </si>
  <si>
    <t>00-01</t>
  </si>
  <si>
    <t>01-02</t>
  </si>
  <si>
    <t>PRESENT  VALUE  OF COST OF FIXED INSTALLATIONS  :-</t>
  </si>
  <si>
    <t>STATEMENT-6</t>
  </si>
  <si>
    <t>1. Cost of maintenance of fixed installation/RKM/Annum</t>
  </si>
  <si>
    <t>2. RKM of section.</t>
  </si>
  <si>
    <t>3. Annual maintenance cost</t>
  </si>
  <si>
    <t>(Rs.in Lahs)</t>
  </si>
  <si>
    <t xml:space="preserve">PRESENT  DAY COST OF MAINTENANCE FOR 30 YEARS-   </t>
  </si>
  <si>
    <t xml:space="preserve">- </t>
  </si>
  <si>
    <t>scount</t>
  </si>
  <si>
    <t>TERMINAL VALUE OF LOCOMOTIVE OF THE SERVING FOR 30 YEARS :-</t>
  </si>
  <si>
    <t>STATEMENT-7</t>
  </si>
  <si>
    <t>Year in which</t>
  </si>
  <si>
    <t>No.of locos</t>
  </si>
  <si>
    <t>Terminal value</t>
  </si>
  <si>
    <t>TERMINAL VALUE OF DIESEL LOCOMOTIVES.</t>
  </si>
  <si>
    <t>procured</t>
  </si>
  <si>
    <t>of Elec.locos.</t>
  </si>
  <si>
    <t>Unit rate of</t>
  </si>
  <si>
    <t xml:space="preserve">Unit rate </t>
  </si>
  <si>
    <t>Total value</t>
  </si>
  <si>
    <t>Unit rate</t>
  </si>
  <si>
    <t>without power</t>
  </si>
  <si>
    <t>of power</t>
  </si>
  <si>
    <t>unit</t>
  </si>
  <si>
    <t>value</t>
  </si>
  <si>
    <t>pack.</t>
  </si>
  <si>
    <t>rate.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</si>
  <si>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</si>
  <si>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</si>
  <si>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</si>
  <si>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</si>
  <si>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</si>
  <si>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>6th</t>
  </si>
  <si>
    <t>7th</t>
  </si>
  <si>
    <t>8th</t>
  </si>
  <si>
    <t>9th</t>
  </si>
  <si>
    <t>PRESENT  DAY COST OF Locomotives-</t>
  </si>
  <si>
    <t>Rate of</t>
  </si>
  <si>
    <t>Present value of Terminal value</t>
  </si>
  <si>
    <t>discount</t>
  </si>
  <si>
    <t>Electric</t>
  </si>
  <si>
    <t>RESUDUAL VALUE OF FIELD ASSETS (Excluding C.L.S. works ) :-</t>
  </si>
  <si>
    <t>STATEMENT-8</t>
  </si>
  <si>
    <t>S.N.</t>
  </si>
  <si>
    <t>DESCRIPTION</t>
  </si>
  <si>
    <t>ELECTRIC TRACTION</t>
  </si>
  <si>
    <t>DIESEL TRACTION</t>
  </si>
  <si>
    <t>Estimated cost</t>
  </si>
  <si>
    <t>Residual value</t>
  </si>
  <si>
    <t>1.</t>
  </si>
  <si>
    <t>i.Office furniture</t>
  </si>
  <si>
    <t xml:space="preserve">ii.Replacement cost </t>
  </si>
  <si>
    <t>after 20 years.</t>
  </si>
  <si>
    <t>2.</t>
  </si>
  <si>
    <t>i.Electrical fittings and</t>
  </si>
  <si>
    <t>apparatus.</t>
  </si>
  <si>
    <t>3.</t>
  </si>
  <si>
    <t>S &amp; T equipment and</t>
  </si>
  <si>
    <t>power cable.</t>
  </si>
  <si>
    <t>4.</t>
  </si>
  <si>
    <t>Plant equipment &amp; loco</t>
  </si>
  <si>
    <t>shed machinery.</t>
  </si>
  <si>
    <t>5.</t>
  </si>
  <si>
    <t>P.Way &amp; ballast</t>
  </si>
  <si>
    <t>Station Machinery</t>
  </si>
  <si>
    <t>6.</t>
  </si>
  <si>
    <t>Over head power line</t>
  </si>
  <si>
    <t>7.</t>
  </si>
  <si>
    <t>Copper wire.</t>
  </si>
  <si>
    <t>8.</t>
  </si>
  <si>
    <t>Station &amp; building.</t>
  </si>
  <si>
    <t>9.</t>
  </si>
  <si>
    <t>O.H.E. installation</t>
  </si>
  <si>
    <t>10.</t>
  </si>
  <si>
    <t>L A N D.</t>
  </si>
  <si>
    <t>PRESENT  DAY COST OF RESIDUAL VALUE OF FIXED ASSERS:-</t>
  </si>
  <si>
    <t>Residual value (Rs. in Lahs)</t>
  </si>
  <si>
    <t xml:space="preserve">Present day cost of residual value </t>
  </si>
  <si>
    <t>SAVING DUE TO AVOIDANCE OF DETENTION TO WAGON/LOCOS AT DDSG SDG/DAMOH</t>
  </si>
  <si>
    <t>-----------</t>
  </si>
  <si>
    <t>1. Annual saving cost</t>
  </si>
  <si>
    <t>(Rs.in Lakhs)</t>
  </si>
  <si>
    <t>Present value of cash flows for electric and diesel traction (Excl.cost of CLS.) (Amt in Rs.Lahs)</t>
  </si>
  <si>
    <t>Including cost of detention to Wagon/ Locos</t>
  </si>
  <si>
    <t>S.NO.</t>
  </si>
  <si>
    <t>Particulars</t>
  </si>
  <si>
    <t>Present value of cash flows</t>
  </si>
  <si>
    <t>to</t>
  </si>
  <si>
    <t>statement</t>
  </si>
  <si>
    <t>Cost of Works</t>
  </si>
  <si>
    <t>1</t>
  </si>
  <si>
    <t>Cost of Locomotives</t>
  </si>
  <si>
    <t>2</t>
  </si>
  <si>
    <t>OPTG. COSTS:</t>
  </si>
  <si>
    <t>a) Cost of fuel / energy</t>
  </si>
  <si>
    <t>3</t>
  </si>
  <si>
    <t>b) Cost of Lubricant</t>
  </si>
  <si>
    <t>4</t>
  </si>
  <si>
    <t>Maintenance Costs.</t>
  </si>
  <si>
    <t>a) Locomotives</t>
  </si>
  <si>
    <t>5</t>
  </si>
  <si>
    <t>b) Fixed assets</t>
  </si>
  <si>
    <t>6</t>
  </si>
  <si>
    <t>RESIDUAL COST.</t>
  </si>
  <si>
    <t>7</t>
  </si>
  <si>
    <t>8</t>
  </si>
  <si>
    <t>Saving due to avoidance of</t>
  </si>
  <si>
    <t>detention to wagon/loco</t>
  </si>
  <si>
    <t xml:space="preserve">INTERNAL RATE OF RETURN = </t>
  </si>
  <si>
    <t>Excluding detention</t>
  </si>
  <si>
    <t xml:space="preserve">PRESENT  DAY COST OF Loco MAINTENANCE  </t>
  </si>
  <si>
    <t>STATEMENT-5</t>
  </si>
  <si>
    <t>No. of Locos</t>
  </si>
  <si>
    <t>on Line</t>
  </si>
  <si>
    <t>Elect@6.74</t>
  </si>
  <si>
    <t>Diesel@11.81</t>
  </si>
  <si>
    <t>ELECTRIFICATION OF MUGHALSARAI-ZAFRABAD SECTION OF N.RLY</t>
  </si>
  <si>
    <t>each</t>
  </si>
  <si>
    <t>TRANSFER COST OF CLW/DLW</t>
  </si>
  <si>
    <t>DCW's Cost</t>
  </si>
  <si>
    <t>As advised byRly.Bd</t>
  </si>
  <si>
    <t>Cost advised by Bd.</t>
  </si>
  <si>
    <t xml:space="preserve">    (Rs.)</t>
  </si>
  <si>
    <t>AS  PER ASSESMENT OF NR</t>
  </si>
  <si>
    <t>-do-</t>
  </si>
  <si>
    <t>Lts/1000</t>
  </si>
  <si>
    <t>As advised by Bd.</t>
  </si>
  <si>
    <t>TKM-1596</t>
  </si>
  <si>
    <t>At 26%</t>
  </si>
  <si>
    <t>At 27%</t>
  </si>
  <si>
    <t>(-) 4(95-96)</t>
  </si>
  <si>
    <t>(-) 3(96-97)</t>
  </si>
  <si>
    <t>(-) 2(97-98)</t>
  </si>
  <si>
    <t>(-) 1(98-99)</t>
  </si>
  <si>
    <t>0(99-00)</t>
  </si>
  <si>
    <t>(+) 1(00-01)</t>
  </si>
  <si>
    <t>(+) 2(00-01)</t>
  </si>
  <si>
    <t>@3.32 (Rs./kwh)</t>
  </si>
  <si>
    <t>@Rs.14954.20/KL</t>
  </si>
  <si>
    <t>GTKM/Annum(in million)</t>
  </si>
  <si>
    <t>GTKM IN</t>
  </si>
  <si>
    <t>million</t>
  </si>
  <si>
    <t>P</t>
  </si>
  <si>
    <t>1st (Goods)</t>
  </si>
  <si>
    <t>1st (Pass)</t>
  </si>
  <si>
    <t>11th</t>
  </si>
  <si>
    <t>RESUDUAL VALUE OF FIELD ASSETS (Including C.L.S. works ) :-</t>
  </si>
  <si>
    <t>SAVING DUE TO AVOIDANCE OF DETENTION TO COACHING SERVICES</t>
  </si>
  <si>
    <t>Present value of cash flows for electric and diesel traction (Incl.cost of CLS.) (Amt in Rs.Lahs)</t>
  </si>
  <si>
    <t>Excluding cost of detention to coaching Locos</t>
  </si>
  <si>
    <t>Elayur-Makudi</t>
  </si>
  <si>
    <t>SN/Project</t>
  </si>
  <si>
    <t>1.Renigunta-Guntakal</t>
  </si>
  <si>
    <t xml:space="preserve">III.    APPROVED RAILWAY ELECTRIFICATION WORKS IN ANDHARA PRADESH </t>
  </si>
  <si>
    <t xml:space="preserve">ROUTE KILOMETRES </t>
  </si>
  <si>
    <t>Motumari-Jaggayyapet</t>
  </si>
  <si>
    <t>Rajahmundry-Samalkot-Kakinada</t>
  </si>
  <si>
    <t>Dornakal-Singareni</t>
  </si>
  <si>
    <t>Simhachalam-Kottavalasa-Almanda</t>
  </si>
  <si>
    <t>Duvvada-Vadlapudi</t>
  </si>
  <si>
    <t>Simhachalam Yard</t>
  </si>
  <si>
    <t>Koraput-Rayagada-Vizianagaram-288 RKM</t>
  </si>
  <si>
    <t>RKM in Andhra Pradesh</t>
  </si>
  <si>
    <t>Proportionate anticipated cost(Rs cr.)</t>
  </si>
  <si>
    <t xml:space="preserve">IV)    SURVEY FOR ELECTRIFICATION </t>
  </si>
  <si>
    <t>I.     PRESENT STATUS OF ELECTRIFICATION ON VARIOUS GAUGES</t>
  </si>
  <si>
    <t>V)</t>
  </si>
  <si>
    <t>BIHAR</t>
  </si>
  <si>
    <t>II. ELECTRIFICATION SCHEMES COMPLETED IN THE STATE OF BIHAR</t>
  </si>
  <si>
    <t>Mankatha-Barhaiya</t>
  </si>
  <si>
    <t>Kita-Namkum</t>
  </si>
  <si>
    <t>Birmadih-Chakardharpur-Kandra-Gomharia</t>
  </si>
  <si>
    <t>Santaldih-Pattardih-Sudamadih-Jamadoba-Dongaposhi Barabil</t>
  </si>
  <si>
    <t>Japla-Garwa Road and Barwadih-Tori</t>
  </si>
  <si>
    <t>Jamtara-Madhupur-Jasidih-Baidyanath</t>
  </si>
  <si>
    <t>Nil</t>
  </si>
  <si>
    <t>III.    APPROVED RAILWAY ELECTRIFICATION WORKS IN BIHAR</t>
  </si>
  <si>
    <t>DELHI</t>
  </si>
  <si>
    <t>II. ELECTRIFICATION SCHEMES COMPLETED IN THE STATE OF DELHI</t>
  </si>
  <si>
    <t>III.    APPROVED RAILWAY ELECTRIFICATION WORKS IN DELHI</t>
  </si>
  <si>
    <t>Sahibabad-Tughlakabad</t>
  </si>
  <si>
    <t>76-77/82-83</t>
  </si>
  <si>
    <t>Rampura Cabin-Naya Azadpur</t>
  </si>
  <si>
    <t>Sabjimandi-Naya Azadpur</t>
  </si>
  <si>
    <t>Naya Azadpur-Narela</t>
  </si>
  <si>
    <t>RKM in Delhi</t>
  </si>
  <si>
    <t>Sabarmati-Ahmedabad Gholvad</t>
  </si>
  <si>
    <t>Chelthan-Vyara</t>
  </si>
  <si>
    <t>IV   SURVEY FOR ELECTRIFICATION</t>
  </si>
  <si>
    <t>I.     PRESENT STATUS OF ELECTRIFICATION ON VARIOUS GAUGE</t>
  </si>
  <si>
    <t>HARYANA</t>
  </si>
  <si>
    <t>II. ELECTRIFICATION SCHEMES COMPLETED IN THE STATE OF HARYANA</t>
  </si>
  <si>
    <t>Ambala-Jagadhari Workshop</t>
  </si>
  <si>
    <t>Jagadhri Workshop-Sarsawa</t>
  </si>
  <si>
    <t>III.    APPROVED RAILWAY ELECTRIFICATION WORKS IN HARYANA</t>
  </si>
  <si>
    <t>1. Bijwasan-Gurgaon (Part of Delhi Sarai Rohilla-Gurgaon electrification Project)</t>
  </si>
  <si>
    <t>RKM in Haryana</t>
  </si>
  <si>
    <t>HIMACHAL PRADESH</t>
  </si>
  <si>
    <t>II. ELECTRIFICATION SCHEMES COMPLETED IN THE STATE OF HIMACHAL PRADESH</t>
  </si>
  <si>
    <t>III.    APPROVED RAILWAY ELECTRIFICATION WORKS IN HIMACHAL PRADESH</t>
  </si>
  <si>
    <t>Nangal Dam-Una</t>
  </si>
  <si>
    <t>II. ELECTRIFICATION SCHEMES COMPLETED IN THE STATE OF KARNATAKA</t>
  </si>
  <si>
    <t>Bangalore-Kangeri</t>
  </si>
  <si>
    <t>III.    APPROVED RAILWAY ELECTRIFICATION WORKS IN KARNATAKA</t>
  </si>
  <si>
    <t>1.  Cost-cum-feasibility survey for electrification of the following sections have been completed.</t>
  </si>
  <si>
    <t>Kengeri-Mysore-126 RKM</t>
  </si>
  <si>
    <t xml:space="preserve">Pune-Wadi-Guntakal-641 RKM </t>
  </si>
  <si>
    <t>(Part of which 212 RKM falls in Karnataka)</t>
  </si>
  <si>
    <t>KERALA</t>
  </si>
  <si>
    <t>II. ELECTRIFICATION SCHEMES COMPLETED IN THE STATE OF KERALA</t>
  </si>
  <si>
    <t>Shoranur-Punkunam</t>
  </si>
  <si>
    <t>Punkunnam-Chovvara</t>
  </si>
  <si>
    <t>Chovvara-Ernakulam</t>
  </si>
  <si>
    <t>III.    APPROVED RAILWAY ELECTRIFICATION WORKS IN KERALA</t>
  </si>
  <si>
    <t>MADHYA PRADESH</t>
  </si>
  <si>
    <t>II. ELECTRIFICATION SCHEMES COMPLETED IN THE STATE OF MADHYA PRADESH</t>
  </si>
  <si>
    <t>III.    APPROVED RAILWAY ELECTRIFICATION WORKS IN MADHYA PRADESH</t>
  </si>
  <si>
    <t>Kirandul-Kotpar Road</t>
  </si>
  <si>
    <t>Nahargarh-Vikaramgarh,Alot-Thuria</t>
  </si>
  <si>
    <t>Basai-Matakatila</t>
  </si>
  <si>
    <t>Dhaura-Itarsi-Darimeta</t>
  </si>
  <si>
    <t>Dhankheri-Bhawani Mandi</t>
  </si>
  <si>
    <t>Kurlasi-Choumahala</t>
  </si>
  <si>
    <t>Nagda-Bhopal</t>
  </si>
  <si>
    <t>Itarsi-Burhanpur</t>
  </si>
  <si>
    <t>Bina-Girwar; Damoh-Sagoni</t>
  </si>
  <si>
    <t>Bilaspur-Khongsara</t>
  </si>
  <si>
    <t>Annupur-Shahdol</t>
  </si>
  <si>
    <t>Annupur-Bijuri</t>
  </si>
  <si>
    <t>Girwar-Damoh,Agasod-Malkhedi,Katni-Marwar, Agasod Malkhedi</t>
  </si>
  <si>
    <t>Katni-Marwar-New Katni</t>
  </si>
  <si>
    <t>Chandiya Road-New Katni</t>
  </si>
  <si>
    <t>Chirimiri-Manendragarh</t>
  </si>
  <si>
    <t>Durg-Muraunda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</si>
  <si>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</si>
  <si>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</si>
  <si>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</si>
  <si>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</si>
  <si>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</si>
  <si>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</si>
  <si>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</si>
  <si>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</si>
  <si>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</si>
  <si>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</si>
  <si>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</si>
  <si>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</si>
  <si>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</si>
  <si>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MAHARASHTRA</t>
  </si>
  <si>
    <t>II. ELECTRIFICATION SCHEMES COMPLETED IN THE STATE OF MAHARASHTRA</t>
  </si>
  <si>
    <t>III.    APPROVED RAILWAY ELECTRIFICATION WORKS IN MAHARASHTRA</t>
  </si>
  <si>
    <t>Jalgaon-Dharangaon</t>
  </si>
  <si>
    <t>(Part of which 307 RKM falls in Maharashtra)</t>
  </si>
  <si>
    <t>ORISSA</t>
  </si>
  <si>
    <t>II. ELECTRIFICATION SCHEMES COMPLETED IN THE STATE OF ORISSA</t>
  </si>
  <si>
    <t>Deojhar-Banspani-Barabil-Bolanikhadaan</t>
  </si>
  <si>
    <t>Berhampur-Tapang</t>
  </si>
  <si>
    <t>Bondamunda-Orga</t>
  </si>
  <si>
    <t>Lakshnath Rd-Jaleswar</t>
  </si>
  <si>
    <t>III.    APPROVED RAILWAY ELECTRIFICATION WORKS IN ORISSA</t>
  </si>
  <si>
    <t>RKM in Orissa</t>
  </si>
  <si>
    <t>II. ELECTRIFICATION SCHEMES COMPLETED IN THE STATE OF PUNJAB</t>
  </si>
  <si>
    <t>Sambhu-MandiGovindgarh</t>
  </si>
  <si>
    <t>Morinda-Ropara</t>
  </si>
  <si>
    <t>RTP Siding</t>
  </si>
  <si>
    <t>Roopnagar-Nangaldam</t>
  </si>
  <si>
    <t>III.    APPROVED RAILWAY ELECTRIFICATION WORKS IN PUNJAB</t>
  </si>
  <si>
    <t>RAJASTHAN</t>
  </si>
  <si>
    <t>II. ELECTRIFICATION SCHEMES COMPLETED IN THE STATE OF RAJASTHAN</t>
  </si>
  <si>
    <r>
      <t>Ranikund-Rarah-Dhounkheri</t>
    </r>
    <r>
      <rPr>
        <sz val="10"/>
        <rFont val="Arial"/>
        <family val="0"/>
      </rPr>
      <t xml:space="preserve"> </t>
    </r>
  </si>
  <si>
    <t>Choumahala-Thuria</t>
  </si>
  <si>
    <t>III.    APPROVED RAILWAY ELECTRIFICATION WORKS IN RAJASTHAN</t>
  </si>
  <si>
    <t>TAMILNADU</t>
  </si>
  <si>
    <t>II. ELECTRIFICATION SCHEMES COMPLETED IN THE STATE OF TAMILNADU</t>
  </si>
  <si>
    <t>Chenni Beach-Tambaram</t>
  </si>
  <si>
    <t>Pre Independence</t>
  </si>
  <si>
    <t>Chenni-Ilayar</t>
  </si>
  <si>
    <t>Chenni-salem Incl. Metturdam</t>
  </si>
  <si>
    <t>Tambaram-Chengalpattu</t>
  </si>
  <si>
    <t>III.    APPROVED RAILWAY ELECTRIFICATION WORKS IN TAMILNADU</t>
  </si>
  <si>
    <t>RKM in TAMILNADU</t>
  </si>
  <si>
    <t>UTTAR PRADESH</t>
  </si>
  <si>
    <t>II. ELECTRIFICATION SCHEMES COMPLETED IN THE STATE OF UTTAR PRADESH</t>
  </si>
  <si>
    <t>Mathura-Ranikund Rarah</t>
  </si>
  <si>
    <t>Saharanpur Stn.</t>
  </si>
  <si>
    <t xml:space="preserve">k </t>
  </si>
  <si>
    <t>III.    APPROVED RAILWAY ELECTRIFICATION WORKS IN UTTAR PRADESH</t>
  </si>
  <si>
    <t>Matatila-Jiron-Jakhloan</t>
  </si>
  <si>
    <t>RKM in Uttar Pradesh</t>
  </si>
  <si>
    <t>i)</t>
  </si>
  <si>
    <t>WEST BENGAL</t>
  </si>
  <si>
    <t>II. ELECTRIFICATION SCHEMES COMPLETED IN THE STATE OF WEST BENGAL</t>
  </si>
  <si>
    <t>60-61/ 64-65</t>
  </si>
  <si>
    <t>Asansol-Purulia-Birmadihdih</t>
  </si>
  <si>
    <t>Damodar - Kalipahari</t>
  </si>
  <si>
    <t>Sealdhah-Ranaghat-Shantipur</t>
  </si>
  <si>
    <t>Damdam-Barast-Bangaon</t>
  </si>
  <si>
    <t>Sub-Urbun Area</t>
  </si>
  <si>
    <t>Andal - Dankuni</t>
  </si>
  <si>
    <t>Panskura-Haldia</t>
  </si>
  <si>
    <t>74-75 / 75-76</t>
  </si>
  <si>
    <t>76-77/ 77-78</t>
  </si>
  <si>
    <t>Sitaranpur-Chittaranjan</t>
  </si>
  <si>
    <t>Dhatrigarm-Katwa</t>
  </si>
  <si>
    <t>x</t>
  </si>
  <si>
    <t xml:space="preserve">y </t>
  </si>
  <si>
    <t>Triruldih-Ilu</t>
  </si>
  <si>
    <t>Adra- Bheduasole</t>
  </si>
  <si>
    <t>z</t>
  </si>
  <si>
    <t>a1</t>
  </si>
  <si>
    <t>Pundag-Muri</t>
  </si>
  <si>
    <t>b1</t>
  </si>
  <si>
    <t>c1</t>
  </si>
  <si>
    <t>Bhedusole-Salboni</t>
  </si>
  <si>
    <t>d1</t>
  </si>
  <si>
    <t>e1</t>
  </si>
  <si>
    <t>Salbani-Midnapur</t>
  </si>
  <si>
    <t>f1</t>
  </si>
  <si>
    <t>Hijli-Bakhrabad</t>
  </si>
  <si>
    <t>Bakhrabad-Danton</t>
  </si>
  <si>
    <t>III.    APPROVED RAILWAY ELECTRIFICATION WORKS IN WEST BENGAL</t>
  </si>
  <si>
    <t>Jhajha-Kiul</t>
  </si>
  <si>
    <t>I. PRESENT STATUS OF ELECTRIFICATION ON VARIOUS GAUGES</t>
  </si>
  <si>
    <t>I.     PRESENT STATUS OF ELECTRIFICATION ON VARIOUS GAUGEs</t>
  </si>
  <si>
    <t>1.  Cost-cum-feasibility survey for electrification of the following section has been completed.</t>
  </si>
  <si>
    <t xml:space="preserve"> Pune-Wadi-Guntakal-641 RKM</t>
  </si>
  <si>
    <t>ELECTRIFIED RKM  AS  %</t>
  </si>
  <si>
    <t>57-58, (Converted to Ac in 65-66/67-68)</t>
  </si>
  <si>
    <t>1.  Cost-cum-feasibility surveys for electrification of the following sections have been completed.</t>
  </si>
  <si>
    <t xml:space="preserve">iv) </t>
  </si>
  <si>
    <t>Proportionate anticipated cost (Rs cr.)</t>
  </si>
  <si>
    <t xml:space="preserve"> (part of which 159 RKM falls in Orissa)</t>
  </si>
  <si>
    <t>1.  Cost-cum-feasibility surveys &amp; for electrification of the following sections have been completed.</t>
  </si>
  <si>
    <t>Itarsi-Allahabad- 603 RKM</t>
  </si>
  <si>
    <t>(Major part- 495 RKM falls in M.P.)</t>
  </si>
  <si>
    <t>(Part of which- 152 RKM, falls in M.P.)</t>
  </si>
  <si>
    <t xml:space="preserve">  Cost-cum-feasibility surveys for electrification of the following sections has been completed.</t>
  </si>
  <si>
    <t>RKM in West Bengal</t>
  </si>
  <si>
    <t>II.     ELECTRIFICATION SCHEMES COMPLETED IN THE STATE OF ANDHRA PRADESH</t>
  </si>
  <si>
    <t>1.Delhi Sarai Rohilla-Bijwasan(Part of Gurgaon)</t>
  </si>
  <si>
    <t>GUJARAT</t>
  </si>
  <si>
    <t>II. ELECTRIFICATION SCHEMES COMPLETED IN THE STATE OF   GUJARAT</t>
  </si>
  <si>
    <t>III.    APPROVED RAILWAY ELECTRIFICATION WORKS IN GUJARAT</t>
  </si>
  <si>
    <t>KARNATAKA</t>
  </si>
  <si>
    <t>1. Ernakulam-Trivandrum</t>
  </si>
  <si>
    <t>Itarsi-Allahabad (603 RKM part of which 108 RKM falls in Uttar Pradesh)</t>
  </si>
  <si>
    <t xml:space="preserve">  Cost-cum-feasibility survey for electrification of the following section has been completed.</t>
  </si>
  <si>
    <t xml:space="preserve">Katwa-Azimganj-  78 RKM </t>
  </si>
  <si>
    <t>Koraput-Rayagada-Vijayanagaram- 288 RKM</t>
  </si>
  <si>
    <t>2002-03</t>
  </si>
  <si>
    <t>JHARKHAND</t>
  </si>
  <si>
    <t>II. ELECTRIFICATION SCHEMES COMPLETED IN THE STATE OF JHARKHAND</t>
  </si>
  <si>
    <t>Kumardhubi-Yadugram</t>
  </si>
  <si>
    <t>Chakulia-Sini--Chakradharpur-Jaraikela</t>
  </si>
  <si>
    <t>Kajri-Kechki</t>
  </si>
  <si>
    <t>Kajratnawadih-Japla:Garwa Road</t>
  </si>
  <si>
    <t xml:space="preserve">Jasidih-Tulsitnar </t>
  </si>
  <si>
    <t>a1)</t>
  </si>
  <si>
    <t>b1)</t>
  </si>
  <si>
    <t>c1)</t>
  </si>
  <si>
    <t>d1)</t>
  </si>
  <si>
    <t>Namkum-Ranchi-Hatia-Orga</t>
  </si>
  <si>
    <t>III.    APPROVED RAILWAY ELECTRIFICATION WORKS IN JHARKHAND</t>
  </si>
  <si>
    <t>Rajkharsaun-Dongaposi</t>
  </si>
  <si>
    <t>Yadugram-Saidraja</t>
  </si>
  <si>
    <t>Sonnagar-Barakisaliya</t>
  </si>
  <si>
    <t>Barakisaliya-Kajratnawadih</t>
  </si>
  <si>
    <t>Tulsitnar-Nargunjoo</t>
  </si>
  <si>
    <t>Rampur Dumra-Barauni</t>
  </si>
  <si>
    <t>IV.   SURVEY FOR ELECTRIFICATION</t>
  </si>
  <si>
    <t>Dharangaon-Dondaicha</t>
  </si>
  <si>
    <t>Chengalpattu-Kanchipuram</t>
  </si>
  <si>
    <t>Chengalpattu-Tindivanam</t>
  </si>
  <si>
    <t>Dildarnagar-Chausa</t>
  </si>
  <si>
    <t>Lucknow Circular Railway</t>
  </si>
  <si>
    <t>Danapur-Ara-Chausa</t>
  </si>
  <si>
    <t>Tapang-Bhubaneswar</t>
  </si>
  <si>
    <t>Jaleswar-Amarda</t>
  </si>
  <si>
    <t>Linking lines of Bondamunda P, B &amp; C Cabins</t>
  </si>
  <si>
    <t>1.Lakshnath Road-Bhubaneswar (part of Kharagpur-Bhubaneswar Electrification project)</t>
  </si>
  <si>
    <t>Hari-Venkatnagar</t>
  </si>
  <si>
    <t>Shahdol-Chandiya Rd</t>
  </si>
  <si>
    <t>Venkatanagar-Anuppur</t>
  </si>
  <si>
    <t>Khodri-Harri</t>
  </si>
  <si>
    <t>Boridand-Baikunthpur</t>
  </si>
  <si>
    <t>Baikunthpur -Bishrampur</t>
  </si>
  <si>
    <t>Bijuri-Boridand-Manendragarh</t>
  </si>
  <si>
    <t xml:space="preserve"> Daritola-Tigerhill</t>
  </si>
  <si>
    <t>CHHATTISGARH</t>
  </si>
  <si>
    <t>II. ELECTRIFICATION SCHEMES COMPLETED IN THE STATE OF CHHATTISGARH</t>
  </si>
  <si>
    <t>III.    APPROVED RAILWAY ELECTRIFICATION WORKS IN CHHATTISGARH</t>
  </si>
  <si>
    <t>Khongsara-Khodri</t>
  </si>
  <si>
    <t>Champa-Korba-Gevra Road</t>
  </si>
  <si>
    <t xml:space="preserve">OUTLAY FOR ELECTRIFICATION DURING </t>
  </si>
  <si>
    <t>V. OUTLAY FOR ELECTRIFICATION DURING</t>
  </si>
  <si>
    <t xml:space="preserve">V.  OUTLAY FOR ELECTRIFICATION DURING </t>
  </si>
  <si>
    <t xml:space="preserve">IV. SURVEY FOR ELECTRIFICATION </t>
  </si>
  <si>
    <t xml:space="preserve">IV.   SURVEY FOR ELECTRIFICATION </t>
  </si>
  <si>
    <t xml:space="preserve">V.   OUTLAY FOR ELECTRIFICATION DURING </t>
  </si>
  <si>
    <t>V.  OUTLAY FOR ELECTRIFICATION DURING</t>
  </si>
  <si>
    <t>V.   OUTLAY FOR ELECTRIFICATION DURING</t>
  </si>
  <si>
    <t>V.    OUTLAY FOR ELECTRIFICATION DURING</t>
  </si>
  <si>
    <t>V.  OUTLAY FOR EXPENDITURE DURING</t>
  </si>
  <si>
    <t>V.  OUTLAY FOR ELECTRIFICATIN DURING</t>
  </si>
  <si>
    <t>Renigunta-Ballapalle</t>
  </si>
  <si>
    <t>2003-04</t>
  </si>
  <si>
    <t>Gaya-Jehanabad</t>
  </si>
  <si>
    <t>Vyara-Kikakui Road</t>
  </si>
  <si>
    <t>e1)</t>
  </si>
  <si>
    <t>Kusunda-Jamuniatand</t>
  </si>
  <si>
    <t>Kikakui Road-Lakkadkoi</t>
  </si>
  <si>
    <t>Dondaicha-Nandurbar-Dhekwad</t>
  </si>
  <si>
    <t>Meramandoli-Barang</t>
  </si>
  <si>
    <t>Barang-Bhubaneswar</t>
  </si>
  <si>
    <t>y</t>
  </si>
  <si>
    <t>Balasore-Amarda Road</t>
  </si>
  <si>
    <t>Ludhiana-Phagwara</t>
  </si>
  <si>
    <t>Tindivanam-Villupuram</t>
  </si>
  <si>
    <t>Kanchipuram-New Kanchipuram</t>
  </si>
  <si>
    <t>g1</t>
  </si>
  <si>
    <t>Barasat-Hasnabad</t>
  </si>
  <si>
    <t>1. Krishnanagar-Lalgola</t>
  </si>
  <si>
    <t>Malhaur-Safedabad-Barabanki</t>
  </si>
  <si>
    <t>Awaiting Procedural clearances.</t>
  </si>
  <si>
    <t>Sanatnagar-Wadi   -  180 RKM</t>
  </si>
  <si>
    <t xml:space="preserve">Pagadipalli-Nadikudi-Nallapaduand Nadikudi-Macherla   -  255 RKM </t>
  </si>
  <si>
    <t>iv)</t>
  </si>
  <si>
    <t>Sanatnagar-Wadi    180 RKM</t>
  </si>
  <si>
    <t>(Part of which 58 RKM, falls in Karnataka)</t>
  </si>
  <si>
    <t>Ernakulam-Kurupantara</t>
  </si>
  <si>
    <t>Survey of Daund-Manmad (237 RKM) has been done alongwith Doubling and shelved.</t>
  </si>
  <si>
    <t>Ballapalle-Nandalur</t>
  </si>
  <si>
    <t>Renigunta-Nandalur section completed and electrification of Nandalur-Guntakal section is being taken up by RVNL</t>
  </si>
  <si>
    <t>2004-05</t>
  </si>
  <si>
    <t>Jehanabad-Patna</t>
  </si>
  <si>
    <t>NiL.</t>
  </si>
  <si>
    <t>Year of Energisation</t>
  </si>
  <si>
    <t>Awaiting requisite clearances.</t>
  </si>
  <si>
    <t>Dec.2005</t>
  </si>
  <si>
    <t>Kurupantara-Chengancheri</t>
  </si>
  <si>
    <t>Ernakulam-Shertalai</t>
  </si>
  <si>
    <t>Dhekwad-Lakkadkot</t>
  </si>
  <si>
    <t>Talcher Station Yard</t>
  </si>
  <si>
    <t>Barang-Cuttack</t>
  </si>
  <si>
    <t>Rajatgarh-Kapilas Road</t>
  </si>
  <si>
    <t>Balasore-Ranital</t>
  </si>
  <si>
    <t>Phagwara-Amritsar</t>
  </si>
  <si>
    <t>Kanchipuram-Takkolam</t>
  </si>
  <si>
    <t>Completed except Takkolam-Arakkonam</t>
  </si>
  <si>
    <t>Tapri Bypass line-Hindol Cabin</t>
  </si>
  <si>
    <t>II. ELECTRIFICATION SCHEMES COMPLETED IN THE STATE OF UTTARANCHAL</t>
  </si>
  <si>
    <t>III.    APPROVED RAILWAY ELECTRIFICATION WORKS IN UTTARANCHAL</t>
  </si>
  <si>
    <t>Pune-Wadi-Guntkal  -  641 RKM</t>
  </si>
  <si>
    <t>Work awaiting requisite clearances.</t>
  </si>
  <si>
    <t>Bina-Kota-Chittaurgarh -  469 RKM</t>
  </si>
  <si>
    <t>Mandigovindgarh-Ludhiana</t>
  </si>
  <si>
    <t>Saharanpur-Chodiala</t>
  </si>
  <si>
    <t>Lucknow Passenger Lines</t>
  </si>
  <si>
    <t>Ghaziabad-Saharanpur - 161 RKM</t>
  </si>
  <si>
    <t>Shahadra-Saharanpur - 151 RKM</t>
  </si>
  <si>
    <t>Chodiawala-Roorkee</t>
  </si>
  <si>
    <t>RKM in Uttaranchal</t>
  </si>
  <si>
    <t>1. Sarswa-Moradabad except Chodiawala-Roorkee-Balawali (Part of Ambala-Moradabad)</t>
  </si>
  <si>
    <t>1.  Chodiawala-Roorkee-Balawali (Part of Ambala-Moradabad)</t>
  </si>
  <si>
    <t xml:space="preserve">s </t>
  </si>
  <si>
    <t xml:space="preserve">Cost-cum-feasibility survey for electrification of Jalandhar-Jammu Tawi section (223RKM)  has been carried out.On this route , Jalandhar -Madhapur section (133 RKM) falls in Punjab </t>
  </si>
  <si>
    <t>31.3.2005</t>
  </si>
  <si>
    <t>2005-06</t>
  </si>
  <si>
    <t>With the completion of above electrification works, total electrified RKM in the state of Delhi would be 129+23 =152 i.e. 97.43 % of the BG tracks.</t>
  </si>
  <si>
    <t>Bhestan-Neyol Bypass Line</t>
  </si>
  <si>
    <t>With the completion of above electrification work, total electrified RKM in the State of Haryana would be 366+7=373 i.e. 28.65% of BG tracks</t>
  </si>
  <si>
    <t>31.03.2005</t>
  </si>
  <si>
    <t>1. Electrification of Bangalore Area</t>
  </si>
  <si>
    <t>With the completion of above electrification work, total electrified RKM in the state of KARNATAKA would be 104+46=150 i.e. 5.98% of BG tracks</t>
  </si>
  <si>
    <t>With the completion of above electrification work, total electrified RKM in the state of KERALA would be 451+68=519 i.e. 55.62% of BG tracks</t>
  </si>
  <si>
    <t>Shertalai-Kayankulam</t>
  </si>
  <si>
    <t>Chengancheri-Kayankulam-Quilon</t>
  </si>
  <si>
    <t>Khurda Road-Puri</t>
  </si>
  <si>
    <t>Ranital-Bhadrak</t>
  </si>
  <si>
    <t>Balawali-Muazzampur Narain</t>
  </si>
  <si>
    <t>Roorkee-Dausani</t>
  </si>
  <si>
    <t>Laksar-Balawali</t>
  </si>
  <si>
    <t>With completion of above electrification work, total electrified RKM in the state of Uttaranchal would be 42+5 = 47 i.e.16.54% of BG tracks</t>
  </si>
  <si>
    <t>With completion of above electrification work, total electrified RKM in the state of West Bengal would be 1744+128=1872 i.e. 58.85% of BG tracks</t>
  </si>
  <si>
    <t>2005-05</t>
  </si>
  <si>
    <t>March, 2006</t>
  </si>
  <si>
    <t>With the completion of above electrification works, total electrified RKM in the state of Andhra Pradesh would be 2098+320=2418 i.e. 51.98% of the BG tracks.</t>
  </si>
  <si>
    <t>Haridaspur-Kapilas Road-Kendrapada and Salegaon-Nergundi</t>
  </si>
  <si>
    <t>Kenduapada-Jakhapura</t>
  </si>
  <si>
    <t>With completion of above electrification work, total electrified RKM in the state of Orissa would be 1148+123=1271 i.e. 57.96% of BG tracks</t>
  </si>
  <si>
    <t xml:space="preserve">STATUS OF RAILWAY ELECRIFICATION IN THE STATE OF </t>
  </si>
  <si>
    <t>PUNJAB</t>
  </si>
  <si>
    <t>Cost-cum-feasibility survey for electrification of the following section has been completed.    Bina-Kota-Chitorgarh  -  469 RKM (Major part 317 RKM  falls in Rajasthan)</t>
  </si>
  <si>
    <t>RKM         energised</t>
  </si>
  <si>
    <t>With complition of above electrification work total electrified RKM in the state of Tamil Nadu  would be 858+7=865 i.e. 38.51% of BG tracks</t>
  </si>
  <si>
    <t>Cost-cum-feasibility survey for Coimbatrore-Udagmandalam section (79 RKM) has been completed.</t>
  </si>
  <si>
    <t>3.  Mugalsarai-Zafrabad Phase-I of Mughalsarai-Lucknow -(via Sultanpur.)-Moradabad</t>
  </si>
  <si>
    <t>2.  Khurja-Meerut-Saharanpur</t>
  </si>
  <si>
    <t>4.  Moradabad-Lucknow-Utraitia</t>
  </si>
  <si>
    <t>With completion of above electrification work, total electrified RKM in the state of Uttar Pradesh would be 1448+719=2167 i.e. 31.88% of BG tracks</t>
  </si>
  <si>
    <t>Moradabad-Lucknow-Mughalsarai via both route - 914 RKM.(out of which 338 RKM have been approved for electrification</t>
  </si>
  <si>
    <t>UTTARANCHAL</t>
  </si>
  <si>
    <t>Hotar-Dimond Harbour, Baruipur-Lakshmikantapur</t>
  </si>
  <si>
    <t>Howrah-Amta, Kharagpur-Midnapur</t>
  </si>
  <si>
    <t xml:space="preserve">Howrah-Sheoraphuli-Tarakeswar, Sheorpahuli-Burdwan , </t>
  </si>
  <si>
    <t>Damodar-radhanagar &amp; Ramkanali-Chaurasi-Adra</t>
  </si>
  <si>
    <t>Kalinarayanpur-Krishnagar &amp; Dumdam-Kumardhubi-Belmuri</t>
  </si>
  <si>
    <t>Dumdam-Chitpur Yard &amp; Bandel-Naihati, Belmuri-Shantinagar, Sealdhah-Hotar-Kakurgachi</t>
  </si>
  <si>
    <t>Anara-Santaldhi-Joychandipahar-Adra</t>
  </si>
  <si>
    <t>Kalyani-Senant</t>
  </si>
  <si>
    <t>Karanjali-Nischintpur</t>
  </si>
  <si>
    <t>2.Tirupati-Pakala-Katpadi(GC)</t>
  </si>
  <si>
    <t>December 2005 except Cuttack-Paradeep section for which the target has not been fixed because of doubling in progress.</t>
  </si>
  <si>
    <t>1.Tambarm-Villupuram and Changalpattu-Arakkonam</t>
  </si>
  <si>
    <t>2.  Villupuram-  Pondicherry(GC)</t>
  </si>
  <si>
    <t>3.   Tirupati-Pakala-Katpadi(GC)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</si>
</sst>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_)"/>
    <numFmt numFmtId="170" formatCode="0.000_)"/>
    <numFmt numFmtId="171" formatCode="0.00000_)"/>
    <numFmt numFmtId="172" formatCode="0.0000_)"/>
    <numFmt numFmtId="173" formatCode="0_)"/>
    <numFmt numFmtId="174" formatCode="_-&quot;Rs.&quot;* #,##0.00_-;\-&quot;Rs.&quot;* #,##0.00_-;_-&quot;Rs.&quot;* &quot;-&quot;??_-;_-@_-"/>
    <numFmt numFmtId="175" formatCode="0.0000000000"/>
    <numFmt numFmtId="176" formatCode="0.000000000"/>
    <numFmt numFmtId="177" formatCode="0.00000000"/>
    <numFmt numFmtId="178" formatCode="0.0"/>
  </numFmts>
  <fonts count="7">
    <font>
      <sz val="10"/>
      <name val="Arial"/>
      <family val="0"/>
    </font>
    <font>
      <u val="single"/>
      <sz val="10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2" fillId="0" borderId="0" xfId="0" applyNumberFormat="1" applyFont="1" applyAlignment="1" applyProtection="1">
      <alignment horizontal="left"/>
      <protection/>
    </xf>
    <xf numFmtId="169" fontId="2" fillId="0" borderId="0" xfId="0" applyNumberFormat="1" applyFont="1" applyAlignment="1" applyProtection="1">
      <alignment horizontal="fill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center"/>
      <protection/>
    </xf>
    <xf numFmtId="169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center"/>
      <protection/>
    </xf>
    <xf numFmtId="169" fontId="0" fillId="0" borderId="0" xfId="0" applyNumberFormat="1" applyAlignment="1" applyProtection="1">
      <alignment horizontal="left"/>
      <protection/>
    </xf>
    <xf numFmtId="169" fontId="0" fillId="0" borderId="0" xfId="0" applyNumberFormat="1" applyAlignment="1" applyProtection="1">
      <alignment horizontal="fill"/>
      <protection/>
    </xf>
    <xf numFmtId="169" fontId="0" fillId="0" borderId="0" xfId="0" applyNumberFormat="1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left"/>
      <protection/>
    </xf>
    <xf numFmtId="169" fontId="0" fillId="0" borderId="0" xfId="0" applyNumberFormat="1" applyAlignment="1" applyProtection="1" quotePrefix="1">
      <alignment horizontal="left"/>
      <protection/>
    </xf>
    <xf numFmtId="0" fontId="0" fillId="0" borderId="0" xfId="0" applyAlignment="1" quotePrefix="1">
      <alignment/>
    </xf>
    <xf numFmtId="173" fontId="0" fillId="0" borderId="0" xfId="0" applyNumberFormat="1" applyAlignment="1" applyProtection="1">
      <alignment/>
      <protection/>
    </xf>
    <xf numFmtId="44" fontId="0" fillId="0" borderId="0" xfId="17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7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justify"/>
    </xf>
    <xf numFmtId="17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0" fontId="0" fillId="0" borderId="0" xfId="0" applyAlignment="1" quotePrefix="1">
      <alignment horizontal="right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vertical="top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17" fontId="0" fillId="0" borderId="0" xfId="0" applyNumberFormat="1" applyAlignment="1">
      <alignment horizontal="justify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17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52">
      <selection activeCell="G42" sqref="A42:G66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5.85156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8.0039062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29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18" customHeight="1">
      <c r="A4" s="30"/>
      <c r="B4" s="30"/>
      <c r="C4" s="30"/>
      <c r="D4" s="86" t="s">
        <v>24</v>
      </c>
      <c r="E4" s="86"/>
      <c r="F4" s="30"/>
      <c r="G4" s="30"/>
    </row>
    <row r="5" spans="1:6" ht="12.75">
      <c r="A5" s="88" t="s">
        <v>718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4652</v>
      </c>
      <c r="E7" s="31">
        <v>508</v>
      </c>
      <c r="F7" s="31">
        <v>36</v>
      </c>
      <c r="G7" s="31">
        <f>SUM(D7:F7)</f>
        <v>5196</v>
      </c>
    </row>
    <row r="8" spans="1:7" ht="12.75">
      <c r="A8" s="87" t="s">
        <v>92</v>
      </c>
      <c r="B8" s="87"/>
      <c r="C8" s="87"/>
      <c r="D8" s="31">
        <v>2098</v>
      </c>
      <c r="E8" s="31">
        <v>0</v>
      </c>
      <c r="F8" s="31">
        <v>0</v>
      </c>
      <c r="G8" s="31">
        <v>2098</v>
      </c>
    </row>
    <row r="9" spans="1:7" ht="12.75">
      <c r="A9" s="87" t="s">
        <v>878</v>
      </c>
      <c r="B9" s="87"/>
      <c r="C9" s="87"/>
      <c r="D9" s="40">
        <f>D8/D7*100</f>
        <v>45.098882201203786</v>
      </c>
      <c r="E9" s="40">
        <f>E8/E7*100</f>
        <v>0</v>
      </c>
      <c r="F9" s="40">
        <f>F8/F7*100</f>
        <v>0</v>
      </c>
      <c r="G9" s="40">
        <f>G8/G7*100</f>
        <v>40.37721324095458</v>
      </c>
    </row>
    <row r="10" spans="4:7" ht="12.75">
      <c r="D10" s="31"/>
      <c r="E10" s="31"/>
      <c r="F10" s="31"/>
      <c r="G10" s="31"/>
    </row>
    <row r="11" ht="17.25" customHeight="1">
      <c r="A11" s="34" t="s">
        <v>890</v>
      </c>
    </row>
    <row r="12" spans="1:7" ht="25.5">
      <c r="A12" s="34"/>
      <c r="B12" s="30" t="s">
        <v>2</v>
      </c>
      <c r="C12" s="86" t="s">
        <v>3</v>
      </c>
      <c r="D12" s="86"/>
      <c r="E12" s="59" t="s">
        <v>4</v>
      </c>
      <c r="G12" s="43" t="s">
        <v>988</v>
      </c>
    </row>
    <row r="13" spans="1:7" ht="12.75" customHeight="1">
      <c r="A13" s="34"/>
      <c r="B13" s="30"/>
      <c r="C13" s="30"/>
      <c r="D13" s="30"/>
      <c r="E13" s="59"/>
      <c r="G13" s="43"/>
    </row>
    <row r="14" spans="2:7" ht="18" customHeight="1">
      <c r="B14" s="29" t="s">
        <v>5</v>
      </c>
      <c r="C14" s="89" t="s">
        <v>703</v>
      </c>
      <c r="D14" s="89"/>
      <c r="E14" s="28">
        <v>790</v>
      </c>
      <c r="G14" s="28" t="s">
        <v>25</v>
      </c>
    </row>
    <row r="15" spans="2:7" ht="18" customHeight="1">
      <c r="B15" s="29" t="s">
        <v>6</v>
      </c>
      <c r="C15" s="89" t="s">
        <v>26</v>
      </c>
      <c r="D15" s="89"/>
      <c r="E15" s="28">
        <v>142</v>
      </c>
      <c r="G15" s="28" t="s">
        <v>27</v>
      </c>
    </row>
    <row r="16" spans="2:7" ht="18" customHeight="1">
      <c r="B16" s="29" t="s">
        <v>7</v>
      </c>
      <c r="C16" s="89" t="s">
        <v>28</v>
      </c>
      <c r="D16" s="89"/>
      <c r="E16" s="28">
        <v>93</v>
      </c>
      <c r="G16" s="28" t="s">
        <v>29</v>
      </c>
    </row>
    <row r="17" spans="2:7" ht="18" customHeight="1">
      <c r="B17" s="29" t="s">
        <v>8</v>
      </c>
      <c r="C17" s="89" t="s">
        <v>30</v>
      </c>
      <c r="D17" s="89"/>
      <c r="E17" s="28">
        <v>46</v>
      </c>
      <c r="G17" s="28" t="s">
        <v>31</v>
      </c>
    </row>
    <row r="18" spans="2:7" ht="18" customHeight="1">
      <c r="B18" s="29" t="s">
        <v>32</v>
      </c>
      <c r="C18" s="89" t="s">
        <v>33</v>
      </c>
      <c r="D18" s="89"/>
      <c r="E18" s="28">
        <v>52</v>
      </c>
      <c r="G18" s="28" t="s">
        <v>34</v>
      </c>
    </row>
    <row r="19" spans="2:7" ht="18" customHeight="1">
      <c r="B19" s="29" t="s">
        <v>35</v>
      </c>
      <c r="C19" s="89" t="s">
        <v>36</v>
      </c>
      <c r="D19" s="89"/>
      <c r="E19" s="28">
        <v>5</v>
      </c>
      <c r="G19" s="28" t="s">
        <v>37</v>
      </c>
    </row>
    <row r="20" spans="2:7" ht="18" customHeight="1">
      <c r="B20" s="29" t="s">
        <v>38</v>
      </c>
      <c r="C20" s="89" t="s">
        <v>39</v>
      </c>
      <c r="D20" s="89"/>
      <c r="E20" s="28">
        <v>30</v>
      </c>
      <c r="G20" s="28" t="s">
        <v>40</v>
      </c>
    </row>
    <row r="21" spans="2:7" ht="18" customHeight="1">
      <c r="B21" s="29" t="s">
        <v>43</v>
      </c>
      <c r="C21" s="89" t="s">
        <v>41</v>
      </c>
      <c r="D21" s="89"/>
      <c r="E21" s="28">
        <v>168</v>
      </c>
      <c r="G21" s="28" t="s">
        <v>42</v>
      </c>
    </row>
    <row r="22" spans="2:7" ht="18" customHeight="1">
      <c r="B22" s="29" t="s">
        <v>44</v>
      </c>
      <c r="C22" s="89" t="s">
        <v>708</v>
      </c>
      <c r="D22" s="89"/>
      <c r="E22" s="28">
        <v>27</v>
      </c>
      <c r="G22" s="28" t="s">
        <v>45</v>
      </c>
    </row>
    <row r="23" spans="2:7" ht="24.75" customHeight="1">
      <c r="B23" s="29" t="s">
        <v>46</v>
      </c>
      <c r="C23" s="84" t="s">
        <v>47</v>
      </c>
      <c r="D23" s="84"/>
      <c r="E23" s="28">
        <v>13</v>
      </c>
      <c r="G23" s="28" t="s">
        <v>45</v>
      </c>
    </row>
    <row r="24" spans="2:7" ht="18" customHeight="1">
      <c r="B24" s="29" t="s">
        <v>48</v>
      </c>
      <c r="C24" s="31" t="s">
        <v>49</v>
      </c>
      <c r="D24" s="31"/>
      <c r="E24" s="28">
        <v>66</v>
      </c>
      <c r="G24" s="28" t="s">
        <v>50</v>
      </c>
    </row>
    <row r="25" spans="2:7" ht="18" customHeight="1">
      <c r="B25" s="29" t="s">
        <v>51</v>
      </c>
      <c r="C25" s="41" t="s">
        <v>709</v>
      </c>
      <c r="D25" s="31"/>
      <c r="E25" s="28">
        <v>69</v>
      </c>
      <c r="G25" s="28" t="s">
        <v>50</v>
      </c>
    </row>
    <row r="26" spans="2:7" ht="18" customHeight="1">
      <c r="B26" s="29" t="s">
        <v>52</v>
      </c>
      <c r="C26" s="31" t="s">
        <v>53</v>
      </c>
      <c r="D26" s="31"/>
      <c r="E26" s="28">
        <v>27</v>
      </c>
      <c r="G26" s="28" t="s">
        <v>50</v>
      </c>
    </row>
    <row r="27" spans="2:7" ht="18" customHeight="1">
      <c r="B27" s="29" t="s">
        <v>54</v>
      </c>
      <c r="C27" s="31" t="s">
        <v>55</v>
      </c>
      <c r="D27" s="31"/>
      <c r="E27" s="28">
        <v>12</v>
      </c>
      <c r="G27" s="28" t="s">
        <v>50</v>
      </c>
    </row>
    <row r="28" spans="2:7" ht="18" customHeight="1">
      <c r="B28" s="29" t="s">
        <v>56</v>
      </c>
      <c r="C28" s="28" t="s">
        <v>710</v>
      </c>
      <c r="E28" s="28">
        <v>26</v>
      </c>
      <c r="G28" s="28" t="s">
        <v>50</v>
      </c>
    </row>
    <row r="29" spans="2:7" ht="30" customHeight="1">
      <c r="B29" s="1" t="s">
        <v>57</v>
      </c>
      <c r="C29" s="83" t="s">
        <v>58</v>
      </c>
      <c r="D29" s="83"/>
      <c r="E29" s="5">
        <v>4</v>
      </c>
      <c r="G29" s="4" t="s">
        <v>50</v>
      </c>
    </row>
    <row r="30" spans="2:7" ht="18" customHeight="1">
      <c r="B30" s="29" t="s">
        <v>59</v>
      </c>
      <c r="C30" s="28" t="s">
        <v>60</v>
      </c>
      <c r="E30" s="28">
        <v>71</v>
      </c>
      <c r="G30" s="28" t="s">
        <v>61</v>
      </c>
    </row>
    <row r="31" spans="2:7" ht="18" customHeight="1">
      <c r="B31" s="29" t="s">
        <v>63</v>
      </c>
      <c r="C31" s="28" t="s">
        <v>62</v>
      </c>
      <c r="E31" s="28">
        <v>118</v>
      </c>
      <c r="G31" s="28" t="s">
        <v>61</v>
      </c>
    </row>
    <row r="32" spans="2:7" ht="16.5" customHeight="1">
      <c r="B32" s="29" t="s">
        <v>64</v>
      </c>
      <c r="C32" s="33" t="s">
        <v>711</v>
      </c>
      <c r="E32" s="28">
        <v>39</v>
      </c>
      <c r="G32" s="28" t="s">
        <v>65</v>
      </c>
    </row>
    <row r="33" spans="2:7" ht="17.25" customHeight="1">
      <c r="B33" s="29" t="s">
        <v>66</v>
      </c>
      <c r="C33" s="28" t="s">
        <v>712</v>
      </c>
      <c r="E33" s="28">
        <v>4</v>
      </c>
      <c r="G33" s="28" t="s">
        <v>65</v>
      </c>
    </row>
    <row r="34" spans="2:7" ht="15.75" customHeight="1">
      <c r="B34" s="29" t="s">
        <v>67</v>
      </c>
      <c r="C34" s="28" t="s">
        <v>68</v>
      </c>
      <c r="E34" s="28">
        <v>82</v>
      </c>
      <c r="G34" s="28" t="s">
        <v>69</v>
      </c>
    </row>
    <row r="35" spans="2:7" ht="18" customHeight="1">
      <c r="B35" s="29" t="s">
        <v>70</v>
      </c>
      <c r="C35" s="28" t="s">
        <v>71</v>
      </c>
      <c r="E35" s="28">
        <v>48</v>
      </c>
      <c r="G35" s="28" t="s">
        <v>69</v>
      </c>
    </row>
    <row r="36" spans="2:7" ht="15.75" customHeight="1">
      <c r="B36" s="29" t="s">
        <v>72</v>
      </c>
      <c r="C36" s="28" t="s">
        <v>713</v>
      </c>
      <c r="E36" s="28">
        <v>8</v>
      </c>
      <c r="G36" s="28" t="s">
        <v>69</v>
      </c>
    </row>
    <row r="37" spans="1:7" ht="13.5" customHeight="1">
      <c r="A37" s="1"/>
      <c r="B37" s="29" t="s">
        <v>73</v>
      </c>
      <c r="C37" s="28" t="s">
        <v>74</v>
      </c>
      <c r="E37" s="28">
        <v>52</v>
      </c>
      <c r="G37" s="28" t="s">
        <v>17</v>
      </c>
    </row>
    <row r="38" spans="2:7" ht="15" customHeight="1">
      <c r="B38" s="29" t="s">
        <v>75</v>
      </c>
      <c r="C38" s="28" t="s">
        <v>76</v>
      </c>
      <c r="E38" s="28">
        <v>20</v>
      </c>
      <c r="G38" s="28" t="s">
        <v>17</v>
      </c>
    </row>
    <row r="39" spans="2:7" ht="15" customHeight="1">
      <c r="B39" s="29" t="s">
        <v>123</v>
      </c>
      <c r="C39" s="28" t="s">
        <v>956</v>
      </c>
      <c r="E39" s="28">
        <v>22</v>
      </c>
      <c r="G39" s="28" t="s">
        <v>901</v>
      </c>
    </row>
    <row r="40" spans="2:7" ht="15" customHeight="1">
      <c r="B40" s="29" t="s">
        <v>909</v>
      </c>
      <c r="C40" s="28" t="s">
        <v>983</v>
      </c>
      <c r="E40" s="28">
        <v>64</v>
      </c>
      <c r="G40" s="28" t="s">
        <v>957</v>
      </c>
    </row>
    <row r="41" spans="2:5" ht="19.5" customHeight="1">
      <c r="B41" s="29"/>
      <c r="C41" s="34" t="s">
        <v>82</v>
      </c>
      <c r="E41" s="34">
        <v>2098</v>
      </c>
    </row>
    <row r="42" ht="12.75">
      <c r="A42" s="34" t="s">
        <v>706</v>
      </c>
    </row>
    <row r="43" spans="1:7" ht="40.5" customHeight="1">
      <c r="A43" s="34" t="s">
        <v>704</v>
      </c>
      <c r="B43" s="47" t="s">
        <v>715</v>
      </c>
      <c r="C43" s="30" t="s">
        <v>78</v>
      </c>
      <c r="D43" s="30"/>
      <c r="E43" s="47" t="s">
        <v>10</v>
      </c>
      <c r="F43" s="64" t="s">
        <v>716</v>
      </c>
      <c r="G43" s="30" t="s">
        <v>11</v>
      </c>
    </row>
    <row r="44" spans="1:7" ht="84.75" customHeight="1">
      <c r="A44" s="36" t="s">
        <v>705</v>
      </c>
      <c r="B44" s="29">
        <v>308</v>
      </c>
      <c r="C44" s="29">
        <v>86</v>
      </c>
      <c r="D44" s="29"/>
      <c r="E44" s="29">
        <f>B44-C44</f>
        <v>222</v>
      </c>
      <c r="F44" s="29">
        <v>168.34</v>
      </c>
      <c r="G44" s="70" t="s">
        <v>984</v>
      </c>
    </row>
    <row r="45" spans="1:7" ht="45" customHeight="1">
      <c r="A45" s="36" t="s">
        <v>1063</v>
      </c>
      <c r="B45" s="29">
        <v>98</v>
      </c>
      <c r="C45" s="29">
        <v>0</v>
      </c>
      <c r="D45" s="29"/>
      <c r="E45" s="29">
        <v>98</v>
      </c>
      <c r="F45" s="29">
        <v>38.52</v>
      </c>
      <c r="G45" s="74" t="s">
        <v>1037</v>
      </c>
    </row>
    <row r="46" spans="1:7" ht="20.25" customHeight="1">
      <c r="A46" s="34" t="s">
        <v>82</v>
      </c>
      <c r="B46" s="30">
        <v>406</v>
      </c>
      <c r="C46" s="30">
        <f>SUM(C44)</f>
        <v>86</v>
      </c>
      <c r="D46" s="30"/>
      <c r="E46" s="30">
        <v>320</v>
      </c>
      <c r="F46" s="30">
        <v>206.86</v>
      </c>
      <c r="G46" s="1"/>
    </row>
    <row r="47" spans="1:7" ht="25.5" customHeight="1">
      <c r="A47" s="82" t="s">
        <v>1038</v>
      </c>
      <c r="B47" s="82"/>
      <c r="C47" s="82"/>
      <c r="D47" s="82"/>
      <c r="E47" s="82"/>
      <c r="F47" s="82"/>
      <c r="G47" s="82"/>
    </row>
    <row r="48" ht="19.5" customHeight="1"/>
    <row r="49" spans="1:3" ht="19.5" customHeight="1">
      <c r="A49" s="34" t="s">
        <v>717</v>
      </c>
      <c r="B49" s="34"/>
      <c r="C49" s="34"/>
    </row>
    <row r="50" ht="19.5" customHeight="1">
      <c r="A50" s="28" t="s">
        <v>757</v>
      </c>
    </row>
    <row r="51" spans="1:2" ht="19.5" customHeight="1">
      <c r="A51" s="32" t="s">
        <v>44</v>
      </c>
      <c r="B51" s="28" t="s">
        <v>714</v>
      </c>
    </row>
    <row r="52" spans="1:2" ht="19.5" customHeight="1">
      <c r="A52" s="32"/>
      <c r="B52" s="28" t="s">
        <v>84</v>
      </c>
    </row>
    <row r="53" spans="1:2" ht="19.5" customHeight="1">
      <c r="A53" s="32" t="s">
        <v>83</v>
      </c>
      <c r="B53" s="28" t="s">
        <v>976</v>
      </c>
    </row>
    <row r="54" spans="1:2" ht="19.5" customHeight="1">
      <c r="A54" s="32"/>
      <c r="B54" s="28" t="s">
        <v>85</v>
      </c>
    </row>
    <row r="55" spans="1:2" ht="19.5" customHeight="1">
      <c r="A55" s="32" t="s">
        <v>86</v>
      </c>
      <c r="B55" s="28" t="s">
        <v>977</v>
      </c>
    </row>
    <row r="56" spans="1:2" ht="19.5" customHeight="1">
      <c r="A56" s="32" t="s">
        <v>978</v>
      </c>
      <c r="B56" s="28" t="s">
        <v>1004</v>
      </c>
    </row>
    <row r="57" ht="19.5" customHeight="1">
      <c r="B57" s="28" t="s">
        <v>87</v>
      </c>
    </row>
    <row r="58" ht="19.5" customHeight="1"/>
    <row r="59" spans="1:4" ht="19.5" customHeight="1">
      <c r="A59" s="34" t="s">
        <v>719</v>
      </c>
      <c r="B59" s="34" t="s">
        <v>945</v>
      </c>
      <c r="C59" s="34"/>
      <c r="D59" s="34"/>
    </row>
    <row r="60" spans="2:3" ht="19.5" customHeight="1">
      <c r="B60" s="35" t="s">
        <v>12</v>
      </c>
      <c r="C60" s="38" t="s">
        <v>90</v>
      </c>
    </row>
    <row r="61" spans="2:3" ht="19.5" customHeight="1">
      <c r="B61" s="28" t="s">
        <v>901</v>
      </c>
      <c r="C61" s="29">
        <v>35</v>
      </c>
    </row>
    <row r="62" spans="2:4" ht="19.5" customHeight="1">
      <c r="B62" s="28" t="s">
        <v>957</v>
      </c>
      <c r="C62" s="29">
        <v>30</v>
      </c>
      <c r="D62" s="31"/>
    </row>
    <row r="63" spans="2:3" ht="12.75">
      <c r="B63" s="28" t="s">
        <v>985</v>
      </c>
      <c r="C63" s="29">
        <v>40</v>
      </c>
    </row>
    <row r="64" ht="6.75" customHeight="1"/>
    <row r="65" spans="2:3" ht="12.75">
      <c r="B65" s="28" t="s">
        <v>1019</v>
      </c>
      <c r="C65" s="29">
        <v>32</v>
      </c>
    </row>
  </sheetData>
  <mergeCells count="20">
    <mergeCell ref="C21:D21"/>
    <mergeCell ref="C22:D22"/>
    <mergeCell ref="C15:D15"/>
    <mergeCell ref="C16:D16"/>
    <mergeCell ref="C17:D17"/>
    <mergeCell ref="C18:D18"/>
    <mergeCell ref="C14:D14"/>
    <mergeCell ref="C12:D12"/>
    <mergeCell ref="C19:D19"/>
    <mergeCell ref="C20:D20"/>
    <mergeCell ref="A47:G47"/>
    <mergeCell ref="C29:D29"/>
    <mergeCell ref="C23:D23"/>
    <mergeCell ref="F1:G1"/>
    <mergeCell ref="A3:G3"/>
    <mergeCell ref="D4:E4"/>
    <mergeCell ref="A7:C7"/>
    <mergeCell ref="A5:F5"/>
    <mergeCell ref="A8:C8"/>
    <mergeCell ref="A9:C9"/>
  </mergeCells>
  <printOptions/>
  <pageMargins left="0.75" right="0.75" top="0.86" bottom="0.6" header="0.34" footer="0.29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G12" sqref="G12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27.75" customHeight="1">
      <c r="A4" s="30"/>
      <c r="B4" s="30"/>
      <c r="C4" s="30"/>
      <c r="D4" s="90" t="s">
        <v>761</v>
      </c>
      <c r="E4" s="90"/>
      <c r="F4" s="30"/>
      <c r="G4" s="30"/>
    </row>
    <row r="5" spans="1:6" ht="21.75" customHeight="1">
      <c r="A5" s="88" t="s">
        <v>718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933</v>
      </c>
      <c r="E7" s="31">
        <v>117</v>
      </c>
      <c r="F7" s="31">
        <v>0</v>
      </c>
      <c r="G7" s="31">
        <f>SUM(D7:F7)</f>
        <v>1050</v>
      </c>
    </row>
    <row r="8" spans="1:7" ht="12.75">
      <c r="A8" s="87" t="s">
        <v>92</v>
      </c>
      <c r="B8" s="87"/>
      <c r="C8" s="87"/>
      <c r="D8" s="31">
        <v>451</v>
      </c>
      <c r="E8" s="31">
        <v>0</v>
      </c>
      <c r="F8" s="31">
        <v>0</v>
      </c>
      <c r="G8" s="31">
        <f>SUM(D8:F8)</f>
        <v>451</v>
      </c>
    </row>
    <row r="9" spans="1:7" ht="12.75">
      <c r="A9" s="87" t="s">
        <v>878</v>
      </c>
      <c r="B9" s="87"/>
      <c r="C9" s="87"/>
      <c r="D9" s="40">
        <f>D8/D7*100</f>
        <v>48.338692390139336</v>
      </c>
      <c r="E9" s="40">
        <f>E8/E7*100</f>
        <v>0</v>
      </c>
      <c r="F9" s="40">
        <v>0</v>
      </c>
      <c r="G9" s="40">
        <f>G8/G7*100</f>
        <v>42.952380952380956</v>
      </c>
    </row>
    <row r="10" spans="4:7" ht="14.25" customHeight="1">
      <c r="D10" s="31"/>
      <c r="E10" s="31"/>
      <c r="F10" s="31"/>
      <c r="G10" s="31"/>
    </row>
    <row r="11" ht="21.75" customHeight="1">
      <c r="A11" s="34" t="s">
        <v>762</v>
      </c>
    </row>
    <row r="12" spans="1:7" ht="25.5">
      <c r="A12" s="34"/>
      <c r="B12" s="30" t="s">
        <v>2</v>
      </c>
      <c r="C12" s="86" t="s">
        <v>3</v>
      </c>
      <c r="D12" s="86"/>
      <c r="E12" s="30" t="s">
        <v>4</v>
      </c>
      <c r="G12" s="43" t="s">
        <v>988</v>
      </c>
    </row>
    <row r="13" spans="1:7" ht="19.5" customHeight="1">
      <c r="A13" s="34"/>
      <c r="B13" s="60" t="s">
        <v>140</v>
      </c>
      <c r="C13" t="s">
        <v>174</v>
      </c>
      <c r="D13"/>
      <c r="E13" s="60">
        <v>87</v>
      </c>
      <c r="F13"/>
      <c r="G13" t="s">
        <v>61</v>
      </c>
    </row>
    <row r="14" spans="1:7" ht="19.5" customHeight="1">
      <c r="A14" s="34"/>
      <c r="B14" s="60" t="s">
        <v>97</v>
      </c>
      <c r="C14" t="s">
        <v>763</v>
      </c>
      <c r="D14"/>
      <c r="E14" s="60">
        <v>21</v>
      </c>
      <c r="G14" t="s">
        <v>65</v>
      </c>
    </row>
    <row r="15" spans="1:7" ht="19.5" customHeight="1">
      <c r="A15" s="34"/>
      <c r="B15" s="60" t="s">
        <v>144</v>
      </c>
      <c r="C15" t="s">
        <v>764</v>
      </c>
      <c r="D15"/>
      <c r="E15" s="60">
        <v>56</v>
      </c>
      <c r="G15" t="s">
        <v>69</v>
      </c>
    </row>
    <row r="16" spans="1:7" ht="19.5" customHeight="1">
      <c r="A16" s="34"/>
      <c r="B16" s="60" t="s">
        <v>146</v>
      </c>
      <c r="C16" t="s">
        <v>765</v>
      </c>
      <c r="D16"/>
      <c r="E16" s="60">
        <v>35</v>
      </c>
      <c r="G16" t="s">
        <v>550</v>
      </c>
    </row>
    <row r="17" spans="1:7" ht="19.5" customHeight="1">
      <c r="A17" s="34"/>
      <c r="B17" s="60" t="s">
        <v>148</v>
      </c>
      <c r="C17" t="s">
        <v>981</v>
      </c>
      <c r="D17"/>
      <c r="E17" s="60">
        <v>35</v>
      </c>
      <c r="G17" t="s">
        <v>901</v>
      </c>
    </row>
    <row r="18" spans="1:7" ht="19.5" customHeight="1">
      <c r="A18" s="34"/>
      <c r="B18" s="60" t="s">
        <v>150</v>
      </c>
      <c r="C18" t="s">
        <v>991</v>
      </c>
      <c r="D18"/>
      <c r="E18" s="60">
        <v>37</v>
      </c>
      <c r="G18" t="s">
        <v>901</v>
      </c>
    </row>
    <row r="19" spans="1:7" ht="19.5" customHeight="1">
      <c r="A19" s="34"/>
      <c r="B19" s="60" t="s">
        <v>162</v>
      </c>
      <c r="C19" t="s">
        <v>992</v>
      </c>
      <c r="D19"/>
      <c r="E19" s="60">
        <v>30</v>
      </c>
      <c r="G19" t="s">
        <v>901</v>
      </c>
    </row>
    <row r="20" spans="1:7" ht="19.5" customHeight="1">
      <c r="A20" s="34"/>
      <c r="B20" s="60" t="s">
        <v>163</v>
      </c>
      <c r="C20" s="93" t="s">
        <v>1027</v>
      </c>
      <c r="D20" s="93"/>
      <c r="E20" s="60">
        <v>69</v>
      </c>
      <c r="G20" t="s">
        <v>985</v>
      </c>
    </row>
    <row r="21" spans="1:7" ht="19.5" customHeight="1">
      <c r="A21" s="34"/>
      <c r="B21" s="60" t="s">
        <v>165</v>
      </c>
      <c r="C21" s="93" t="s">
        <v>1028</v>
      </c>
      <c r="D21" s="93"/>
      <c r="E21" s="60">
        <v>81</v>
      </c>
      <c r="G21" t="s">
        <v>985</v>
      </c>
    </row>
    <row r="22" spans="1:7" ht="21" customHeight="1">
      <c r="A22" s="34"/>
      <c r="B22" s="30"/>
      <c r="C22" s="30" t="s">
        <v>82</v>
      </c>
      <c r="D22" s="30"/>
      <c r="E22" s="30">
        <f>SUM(E13:E21)</f>
        <v>451</v>
      </c>
      <c r="G22" s="43"/>
    </row>
    <row r="23" spans="1:5" ht="18.75" customHeight="1">
      <c r="A23" s="34" t="s">
        <v>766</v>
      </c>
      <c r="B23" s="29"/>
      <c r="E23" s="31"/>
    </row>
    <row r="24" spans="1:7" ht="43.5" customHeight="1">
      <c r="A24" s="43" t="s">
        <v>704</v>
      </c>
      <c r="B24" s="36"/>
      <c r="C24" s="47" t="s">
        <v>175</v>
      </c>
      <c r="D24" s="47" t="s">
        <v>78</v>
      </c>
      <c r="E24" s="47" t="s">
        <v>10</v>
      </c>
      <c r="F24" s="64" t="s">
        <v>716</v>
      </c>
      <c r="G24" s="47" t="s">
        <v>11</v>
      </c>
    </row>
    <row r="25" spans="1:7" ht="29.25" customHeight="1">
      <c r="A25" s="83" t="s">
        <v>896</v>
      </c>
      <c r="B25" s="83"/>
      <c r="C25" s="29">
        <v>320</v>
      </c>
      <c r="D25" s="29">
        <v>252</v>
      </c>
      <c r="E25" s="29">
        <f>C25-D25</f>
        <v>68</v>
      </c>
      <c r="F25" s="29">
        <v>162.32</v>
      </c>
      <c r="G25" s="37" t="s">
        <v>990</v>
      </c>
    </row>
    <row r="26" spans="1:7" ht="28.5" customHeight="1">
      <c r="A26" s="83" t="s">
        <v>1026</v>
      </c>
      <c r="B26" s="92"/>
      <c r="C26" s="92"/>
      <c r="D26" s="92"/>
      <c r="E26" s="92"/>
      <c r="F26" s="92"/>
      <c r="G26" s="92"/>
    </row>
    <row r="27" ht="12" customHeight="1">
      <c r="A27" s="4"/>
    </row>
    <row r="28" spans="1:5" ht="30.75" customHeight="1">
      <c r="A28" s="34" t="s">
        <v>921</v>
      </c>
      <c r="B28" s="29"/>
      <c r="E28" s="29" t="s">
        <v>134</v>
      </c>
    </row>
    <row r="29" spans="1:7" s="34" customFormat="1" ht="20.25" customHeight="1">
      <c r="A29" s="34" t="s">
        <v>955</v>
      </c>
      <c r="B29" s="29"/>
      <c r="C29" s="28"/>
      <c r="D29" s="28"/>
      <c r="E29" s="31"/>
      <c r="F29" s="28"/>
      <c r="G29" s="28"/>
    </row>
    <row r="30" spans="2:3" ht="12.75">
      <c r="B30" s="35" t="s">
        <v>12</v>
      </c>
      <c r="C30" s="38" t="s">
        <v>90</v>
      </c>
    </row>
    <row r="31" spans="2:4" ht="12.75">
      <c r="B31" s="28" t="s">
        <v>901</v>
      </c>
      <c r="C31" s="29">
        <v>15</v>
      </c>
      <c r="D31" s="31"/>
    </row>
    <row r="32" spans="2:4" ht="12.75">
      <c r="B32" s="28" t="s">
        <v>957</v>
      </c>
      <c r="C32" s="29">
        <v>22</v>
      </c>
      <c r="D32" s="31"/>
    </row>
    <row r="33" spans="2:3" ht="12.75">
      <c r="B33" s="28" t="s">
        <v>985</v>
      </c>
      <c r="C33" s="29">
        <v>38</v>
      </c>
    </row>
    <row r="34" spans="2:3" ht="12.75">
      <c r="B34" s="28" t="s">
        <v>1019</v>
      </c>
      <c r="C34" s="29">
        <v>11</v>
      </c>
    </row>
  </sheetData>
  <mergeCells count="12">
    <mergeCell ref="C20:D20"/>
    <mergeCell ref="C21:D21"/>
    <mergeCell ref="A26:G26"/>
    <mergeCell ref="F1:G1"/>
    <mergeCell ref="A3:G3"/>
    <mergeCell ref="D4:E4"/>
    <mergeCell ref="A5:F5"/>
    <mergeCell ref="A25:B25"/>
    <mergeCell ref="A7:C7"/>
    <mergeCell ref="A8:C8"/>
    <mergeCell ref="A9:C9"/>
    <mergeCell ref="C12:D1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9">
      <selection activeCell="G12" sqref="G12"/>
    </sheetView>
  </sheetViews>
  <sheetFormatPr defaultColWidth="9.140625" defaultRowHeight="12.75"/>
  <cols>
    <col min="1" max="1" width="11.421875" style="28" customWidth="1"/>
    <col min="2" max="2" width="9.281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24" customHeight="1">
      <c r="F2" s="29"/>
      <c r="G2" s="31" t="s">
        <v>1018</v>
      </c>
    </row>
    <row r="3" spans="1:7" ht="16.5" customHeight="1">
      <c r="A3" s="86" t="s">
        <v>1</v>
      </c>
      <c r="B3" s="86"/>
      <c r="C3" s="86"/>
      <c r="D3" s="86"/>
      <c r="E3" s="86"/>
      <c r="F3" s="86"/>
      <c r="G3" s="86"/>
    </row>
    <row r="4" spans="1:7" ht="28.5" customHeight="1">
      <c r="A4" s="30"/>
      <c r="B4" s="30"/>
      <c r="C4" s="30"/>
      <c r="D4" s="86" t="s">
        <v>767</v>
      </c>
      <c r="E4" s="86"/>
      <c r="F4" s="30"/>
      <c r="G4" s="30"/>
    </row>
    <row r="5" spans="1:6" ht="17.25" customHeight="1">
      <c r="A5" s="88" t="s">
        <v>718</v>
      </c>
      <c r="B5" s="88"/>
      <c r="C5" s="88"/>
      <c r="D5" s="88"/>
      <c r="E5" s="88"/>
      <c r="F5" s="88"/>
    </row>
    <row r="6" spans="1:7" ht="15.75" customHeight="1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3620</v>
      </c>
      <c r="E7" s="31">
        <v>500</v>
      </c>
      <c r="F7" s="31">
        <v>729</v>
      </c>
      <c r="G7" s="31">
        <f>SUM(D7:F7)</f>
        <v>4849</v>
      </c>
    </row>
    <row r="8" spans="1:7" ht="12.75">
      <c r="A8" s="87" t="s">
        <v>92</v>
      </c>
      <c r="B8" s="87"/>
      <c r="C8" s="87"/>
      <c r="D8" s="31">
        <v>1880</v>
      </c>
      <c r="E8" s="31">
        <v>0</v>
      </c>
      <c r="F8" s="31">
        <v>0</v>
      </c>
      <c r="G8" s="31">
        <f>SUM(D8:F8)</f>
        <v>1880</v>
      </c>
    </row>
    <row r="9" spans="1:7" ht="12.75">
      <c r="A9" s="87" t="s">
        <v>878</v>
      </c>
      <c r="B9" s="87"/>
      <c r="C9" s="87"/>
      <c r="D9" s="40">
        <f>D8/D7*100</f>
        <v>51.93370165745856</v>
      </c>
      <c r="E9" s="40">
        <f>E8/E7*100</f>
        <v>0</v>
      </c>
      <c r="F9" s="40">
        <f>F8/F7*100</f>
        <v>0</v>
      </c>
      <c r="G9" s="40">
        <f>G8/G7*100</f>
        <v>38.770880593936894</v>
      </c>
    </row>
    <row r="10" spans="4:7" ht="12.75" customHeight="1">
      <c r="D10" s="31"/>
      <c r="E10" s="31"/>
      <c r="F10" s="31"/>
      <c r="G10" s="31"/>
    </row>
    <row r="11" ht="21.75" customHeight="1">
      <c r="A11" s="34" t="s">
        <v>768</v>
      </c>
    </row>
    <row r="12" spans="1:7" ht="30.75" customHeight="1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2:7" ht="18" customHeight="1">
      <c r="B13" s="29" t="s">
        <v>140</v>
      </c>
      <c r="C13" s="28" t="s">
        <v>181</v>
      </c>
      <c r="D13" s="31"/>
      <c r="E13" s="28">
        <v>125</v>
      </c>
      <c r="G13" s="28" t="s">
        <v>182</v>
      </c>
    </row>
    <row r="14" spans="2:7" ht="18" customHeight="1">
      <c r="B14" s="29" t="s">
        <v>97</v>
      </c>
      <c r="C14" s="28" t="s">
        <v>771</v>
      </c>
      <c r="D14" s="31"/>
      <c r="E14" s="28">
        <v>171</v>
      </c>
      <c r="G14" s="28" t="s">
        <v>183</v>
      </c>
    </row>
    <row r="15" spans="2:7" ht="18" customHeight="1">
      <c r="B15" s="29" t="s">
        <v>144</v>
      </c>
      <c r="C15" s="28" t="s">
        <v>772</v>
      </c>
      <c r="D15" s="49"/>
      <c r="E15" s="28">
        <v>6</v>
      </c>
      <c r="G15" s="28" t="s">
        <v>109</v>
      </c>
    </row>
    <row r="16" spans="2:7" ht="18" customHeight="1">
      <c r="B16" s="29" t="s">
        <v>146</v>
      </c>
      <c r="C16" s="28" t="s">
        <v>773</v>
      </c>
      <c r="D16" s="31"/>
      <c r="E16" s="28">
        <v>478</v>
      </c>
      <c r="G16" s="28" t="s">
        <v>109</v>
      </c>
    </row>
    <row r="17" spans="2:7" ht="18" customHeight="1">
      <c r="B17" s="29" t="s">
        <v>148</v>
      </c>
      <c r="C17" s="28" t="s">
        <v>774</v>
      </c>
      <c r="D17" s="31"/>
      <c r="E17" s="28">
        <v>13</v>
      </c>
      <c r="G17" s="28" t="s">
        <v>109</v>
      </c>
    </row>
    <row r="18" spans="2:7" ht="18" customHeight="1">
      <c r="B18" s="29" t="s">
        <v>150</v>
      </c>
      <c r="C18" s="28" t="s">
        <v>775</v>
      </c>
      <c r="D18" s="31"/>
      <c r="E18" s="28">
        <v>53</v>
      </c>
      <c r="G18" s="28" t="s">
        <v>109</v>
      </c>
    </row>
    <row r="19" spans="2:7" ht="17.25" customHeight="1">
      <c r="B19" s="29" t="s">
        <v>162</v>
      </c>
      <c r="C19" s="28" t="s">
        <v>776</v>
      </c>
      <c r="D19" s="31"/>
      <c r="E19" s="28">
        <v>238</v>
      </c>
      <c r="G19" s="28" t="s">
        <v>184</v>
      </c>
    </row>
    <row r="20" spans="2:7" ht="16.5" customHeight="1">
      <c r="B20" s="29" t="s">
        <v>163</v>
      </c>
      <c r="C20" s="28" t="s">
        <v>777</v>
      </c>
      <c r="E20" s="28">
        <v>257</v>
      </c>
      <c r="G20" s="28" t="s">
        <v>185</v>
      </c>
    </row>
    <row r="21" spans="2:7" ht="16.5" customHeight="1">
      <c r="B21" s="29" t="s">
        <v>165</v>
      </c>
      <c r="C21" s="28" t="s">
        <v>778</v>
      </c>
      <c r="E21" s="28">
        <v>138</v>
      </c>
      <c r="G21" s="28" t="s">
        <v>110</v>
      </c>
    </row>
    <row r="22" spans="2:7" ht="16.5" customHeight="1">
      <c r="B22" s="29" t="s">
        <v>787</v>
      </c>
      <c r="C22" s="28" t="s">
        <v>932</v>
      </c>
      <c r="E22" s="28">
        <v>11</v>
      </c>
      <c r="G22" s="28" t="s">
        <v>110</v>
      </c>
    </row>
    <row r="23" spans="2:7" ht="16.5" customHeight="1">
      <c r="B23" s="29" t="s">
        <v>788</v>
      </c>
      <c r="C23" s="28" t="s">
        <v>780</v>
      </c>
      <c r="E23" s="28">
        <v>40</v>
      </c>
      <c r="G23" s="28" t="s">
        <v>110</v>
      </c>
    </row>
    <row r="24" spans="2:7" ht="16.5" customHeight="1">
      <c r="B24" s="29" t="s">
        <v>789</v>
      </c>
      <c r="C24" s="28" t="s">
        <v>781</v>
      </c>
      <c r="E24" s="28">
        <v>47</v>
      </c>
      <c r="G24" s="28" t="s">
        <v>110</v>
      </c>
    </row>
    <row r="25" spans="2:7" ht="16.5" customHeight="1">
      <c r="B25" s="29" t="s">
        <v>790</v>
      </c>
      <c r="C25" s="83" t="s">
        <v>933</v>
      </c>
      <c r="D25" s="83"/>
      <c r="E25" s="28">
        <v>87</v>
      </c>
      <c r="G25" s="28" t="s">
        <v>111</v>
      </c>
    </row>
    <row r="26" spans="2:7" ht="16.5" customHeight="1">
      <c r="B26" s="29" t="s">
        <v>791</v>
      </c>
      <c r="C26" s="83" t="s">
        <v>934</v>
      </c>
      <c r="D26" s="83"/>
      <c r="E26" s="28">
        <v>30</v>
      </c>
      <c r="G26" s="28" t="s">
        <v>111</v>
      </c>
    </row>
    <row r="27" spans="1:7" ht="39" customHeight="1">
      <c r="A27" s="1"/>
      <c r="B27" s="29" t="s">
        <v>792</v>
      </c>
      <c r="C27" s="83" t="s">
        <v>782</v>
      </c>
      <c r="D27" s="83"/>
      <c r="E27" s="28">
        <v>127</v>
      </c>
      <c r="G27" s="28" t="s">
        <v>111</v>
      </c>
    </row>
    <row r="28" spans="1:7" ht="21.75" customHeight="1">
      <c r="A28" s="1"/>
      <c r="B28" s="29" t="s">
        <v>793</v>
      </c>
      <c r="C28" s="28" t="s">
        <v>783</v>
      </c>
      <c r="D28" s="46"/>
      <c r="E28" s="28">
        <v>10</v>
      </c>
      <c r="G28" s="28" t="s">
        <v>45</v>
      </c>
    </row>
    <row r="29" spans="1:7" ht="21.75" customHeight="1">
      <c r="A29" s="1"/>
      <c r="B29" s="29" t="s">
        <v>794</v>
      </c>
      <c r="C29" s="28" t="s">
        <v>784</v>
      </c>
      <c r="D29" s="46"/>
      <c r="E29" s="28">
        <v>33</v>
      </c>
      <c r="G29" s="28" t="s">
        <v>45</v>
      </c>
    </row>
    <row r="30" spans="1:7" ht="21.75" customHeight="1">
      <c r="A30" s="1"/>
      <c r="B30" s="29" t="s">
        <v>795</v>
      </c>
      <c r="C30" s="28" t="s">
        <v>786</v>
      </c>
      <c r="D30" s="46"/>
      <c r="E30" s="28">
        <v>16</v>
      </c>
      <c r="G30" s="28" t="s">
        <v>45</v>
      </c>
    </row>
    <row r="31" spans="2:5" ht="84.75" customHeight="1">
      <c r="B31" s="29"/>
      <c r="C31" s="34" t="s">
        <v>82</v>
      </c>
      <c r="D31" s="31"/>
      <c r="E31" s="34">
        <f>SUM(E13:E30)</f>
        <v>1880</v>
      </c>
    </row>
    <row r="32" spans="1:7" ht="26.25" customHeight="1">
      <c r="A32" s="34" t="s">
        <v>769</v>
      </c>
      <c r="G32" s="29" t="s">
        <v>728</v>
      </c>
    </row>
    <row r="33" spans="1:3" ht="24.75" customHeight="1">
      <c r="A33" s="34" t="s">
        <v>949</v>
      </c>
      <c r="B33" s="34"/>
      <c r="C33" s="34"/>
    </row>
    <row r="34" ht="25.5" customHeight="1">
      <c r="A34" s="28" t="s">
        <v>884</v>
      </c>
    </row>
    <row r="35" spans="1:2" ht="16.5" customHeight="1">
      <c r="A35" s="32" t="s">
        <v>44</v>
      </c>
      <c r="B35" s="28" t="s">
        <v>885</v>
      </c>
    </row>
    <row r="36" spans="1:2" ht="25.5" customHeight="1">
      <c r="A36" s="32"/>
      <c r="B36" s="28" t="s">
        <v>886</v>
      </c>
    </row>
    <row r="37" spans="1:2" ht="25.5" customHeight="1">
      <c r="A37" s="32" t="s">
        <v>83</v>
      </c>
      <c r="B37" s="28" t="s">
        <v>1006</v>
      </c>
    </row>
    <row r="38" ht="25.5" customHeight="1">
      <c r="B38" s="28" t="s">
        <v>887</v>
      </c>
    </row>
    <row r="39" spans="1:4" ht="19.5" customHeight="1">
      <c r="A39" s="34" t="s">
        <v>955</v>
      </c>
      <c r="B39" s="34"/>
      <c r="C39" s="34"/>
      <c r="D39" s="34"/>
    </row>
    <row r="40" spans="2:3" ht="19.5" customHeight="1">
      <c r="B40" s="35" t="s">
        <v>12</v>
      </c>
      <c r="C40" s="63" t="s">
        <v>90</v>
      </c>
    </row>
    <row r="41" spans="2:4" ht="19.5" customHeight="1">
      <c r="B41" s="28" t="s">
        <v>901</v>
      </c>
      <c r="C41" s="29" t="s">
        <v>728</v>
      </c>
      <c r="D41" s="31"/>
    </row>
    <row r="42" spans="2:4" ht="18.75" customHeight="1">
      <c r="B42" s="28" t="s">
        <v>957</v>
      </c>
      <c r="C42" s="29" t="s">
        <v>728</v>
      </c>
      <c r="D42" s="31"/>
    </row>
    <row r="43" spans="2:3" ht="12.75">
      <c r="B43" s="28" t="s">
        <v>985</v>
      </c>
      <c r="C43" s="29" t="s">
        <v>728</v>
      </c>
    </row>
    <row r="44" spans="2:3" ht="12.75">
      <c r="B44" s="28" t="s">
        <v>1019</v>
      </c>
      <c r="C44" s="29" t="s">
        <v>728</v>
      </c>
    </row>
  </sheetData>
  <mergeCells count="11">
    <mergeCell ref="F1:G1"/>
    <mergeCell ref="A3:G3"/>
    <mergeCell ref="D4:E4"/>
    <mergeCell ref="A5:F5"/>
    <mergeCell ref="C27:D27"/>
    <mergeCell ref="A7:C7"/>
    <mergeCell ref="A8:C8"/>
    <mergeCell ref="A9:C9"/>
    <mergeCell ref="C12:D12"/>
    <mergeCell ref="C25:D25"/>
    <mergeCell ref="C26:D26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G12" sqref="G12"/>
    </sheetView>
  </sheetViews>
  <sheetFormatPr defaultColWidth="9.140625" defaultRowHeight="12.75"/>
  <cols>
    <col min="1" max="1" width="11.421875" style="28" customWidth="1"/>
    <col min="2" max="2" width="10.003906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25.5" customHeight="1">
      <c r="A4" s="30"/>
      <c r="B4" s="30"/>
      <c r="C4" s="30"/>
      <c r="D4" s="90" t="s">
        <v>800</v>
      </c>
      <c r="E4" s="90"/>
      <c r="F4" s="30"/>
      <c r="G4" s="30"/>
    </row>
    <row r="5" spans="1:6" ht="21.75" customHeight="1">
      <c r="A5" s="88" t="s">
        <v>718</v>
      </c>
      <c r="B5" s="88"/>
      <c r="C5" s="88"/>
      <c r="D5" s="88"/>
      <c r="E5" s="88"/>
      <c r="F5" s="88"/>
    </row>
    <row r="6" spans="1:7" ht="19.5" customHeight="1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9.5" customHeight="1">
      <c r="A7" s="87" t="s">
        <v>707</v>
      </c>
      <c r="B7" s="87"/>
      <c r="C7" s="87"/>
      <c r="D7" s="31">
        <v>4299</v>
      </c>
      <c r="E7" s="31">
        <v>445</v>
      </c>
      <c r="F7" s="31">
        <v>753</v>
      </c>
      <c r="G7" s="31">
        <f>D7+E7+F7</f>
        <v>5497</v>
      </c>
    </row>
    <row r="8" spans="1:7" ht="19.5" customHeight="1">
      <c r="A8" s="87" t="s">
        <v>92</v>
      </c>
      <c r="B8" s="87"/>
      <c r="C8" s="87"/>
      <c r="D8" s="31">
        <v>2059</v>
      </c>
      <c r="E8" s="31">
        <v>0</v>
      </c>
      <c r="F8" s="31">
        <v>0</v>
      </c>
      <c r="G8" s="31">
        <v>2059</v>
      </c>
    </row>
    <row r="9" spans="1:7" ht="19.5" customHeight="1">
      <c r="A9" s="87" t="s">
        <v>878</v>
      </c>
      <c r="B9" s="87"/>
      <c r="C9" s="87"/>
      <c r="D9" s="40">
        <f>D8/D7*100</f>
        <v>47.894859269597575</v>
      </c>
      <c r="E9" s="40">
        <f>E8/E7*100</f>
        <v>0</v>
      </c>
      <c r="F9" s="40">
        <v>0</v>
      </c>
      <c r="G9" s="40">
        <f>G8/G7*100</f>
        <v>37.456794615244675</v>
      </c>
    </row>
    <row r="10" spans="4:7" ht="14.25" customHeight="1">
      <c r="D10" s="31"/>
      <c r="E10" s="31"/>
      <c r="F10" s="31"/>
      <c r="G10" s="31"/>
    </row>
    <row r="11" ht="21" customHeight="1">
      <c r="A11" s="34" t="s">
        <v>801</v>
      </c>
    </row>
    <row r="12" spans="1:7" ht="28.5" customHeight="1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1:7" ht="19.5" customHeight="1">
      <c r="A13" s="34"/>
      <c r="B13" s="29" t="s">
        <v>140</v>
      </c>
      <c r="C13" s="28" t="s">
        <v>186</v>
      </c>
      <c r="E13" s="28">
        <v>358</v>
      </c>
      <c r="G13" s="28" t="s">
        <v>187</v>
      </c>
    </row>
    <row r="14" spans="1:7" ht="19.5" customHeight="1">
      <c r="A14" s="34"/>
      <c r="B14" s="29" t="s">
        <v>97</v>
      </c>
      <c r="C14" s="28" t="s">
        <v>188</v>
      </c>
      <c r="E14" s="28">
        <v>355</v>
      </c>
      <c r="G14" s="28" t="s">
        <v>189</v>
      </c>
    </row>
    <row r="15" spans="1:7" ht="19.5" customHeight="1">
      <c r="A15" s="34"/>
      <c r="B15" s="29" t="s">
        <v>144</v>
      </c>
      <c r="C15" s="28" t="s">
        <v>190</v>
      </c>
      <c r="E15" s="28">
        <v>73</v>
      </c>
      <c r="G15" s="28" t="s">
        <v>191</v>
      </c>
    </row>
    <row r="16" spans="1:7" ht="19.5" customHeight="1">
      <c r="A16" s="34"/>
      <c r="B16" s="29" t="s">
        <v>146</v>
      </c>
      <c r="C16" s="28" t="s">
        <v>192</v>
      </c>
      <c r="E16" s="28">
        <v>5</v>
      </c>
      <c r="G16" s="28" t="s">
        <v>193</v>
      </c>
    </row>
    <row r="17" spans="1:7" ht="19.5" customHeight="1">
      <c r="A17" s="34"/>
      <c r="B17" s="29" t="s">
        <v>148</v>
      </c>
      <c r="C17" s="28" t="s">
        <v>194</v>
      </c>
      <c r="E17" s="28">
        <v>42</v>
      </c>
      <c r="G17" s="28" t="s">
        <v>27</v>
      </c>
    </row>
    <row r="18" spans="1:7" ht="19.5" customHeight="1">
      <c r="A18" s="34"/>
      <c r="B18" s="29" t="s">
        <v>150</v>
      </c>
      <c r="C18" s="28" t="s">
        <v>195</v>
      </c>
      <c r="E18" s="28">
        <v>314</v>
      </c>
      <c r="G18" s="28" t="s">
        <v>205</v>
      </c>
    </row>
    <row r="19" spans="1:7" ht="19.5" customHeight="1">
      <c r="A19" s="34"/>
      <c r="B19" s="29" t="s">
        <v>162</v>
      </c>
      <c r="C19" s="28" t="s">
        <v>196</v>
      </c>
      <c r="E19" s="28">
        <v>347</v>
      </c>
      <c r="G19" s="28" t="s">
        <v>206</v>
      </c>
    </row>
    <row r="20" spans="1:7" ht="19.5" customHeight="1">
      <c r="A20" s="34"/>
      <c r="B20" s="29" t="s">
        <v>163</v>
      </c>
      <c r="C20" s="28" t="s">
        <v>197</v>
      </c>
      <c r="E20" s="28">
        <v>186</v>
      </c>
      <c r="G20" s="28" t="s">
        <v>185</v>
      </c>
    </row>
    <row r="21" spans="1:7" ht="19.5" customHeight="1">
      <c r="A21" s="34"/>
      <c r="B21" s="29" t="s">
        <v>165</v>
      </c>
      <c r="C21" s="28" t="s">
        <v>198</v>
      </c>
      <c r="E21" s="28">
        <v>24</v>
      </c>
      <c r="G21" s="28" t="s">
        <v>37</v>
      </c>
    </row>
    <row r="22" spans="1:7" ht="19.5" customHeight="1">
      <c r="A22" s="34"/>
      <c r="B22" s="29" t="s">
        <v>787</v>
      </c>
      <c r="C22" s="28" t="s">
        <v>199</v>
      </c>
      <c r="E22" s="28">
        <v>9</v>
      </c>
      <c r="G22" s="28" t="s">
        <v>111</v>
      </c>
    </row>
    <row r="23" spans="1:7" ht="19.5" customHeight="1">
      <c r="A23" s="34"/>
      <c r="B23" s="29" t="s">
        <v>788</v>
      </c>
      <c r="C23" s="28" t="s">
        <v>200</v>
      </c>
      <c r="E23" s="28">
        <v>12</v>
      </c>
      <c r="G23" s="28" t="s">
        <v>45</v>
      </c>
    </row>
    <row r="24" spans="1:7" ht="19.5" customHeight="1">
      <c r="A24" s="34"/>
      <c r="B24" s="29" t="s">
        <v>789</v>
      </c>
      <c r="C24" s="28" t="s">
        <v>201</v>
      </c>
      <c r="E24" s="28">
        <v>32</v>
      </c>
      <c r="G24" s="28" t="s">
        <v>45</v>
      </c>
    </row>
    <row r="25" spans="1:7" ht="19.5" customHeight="1">
      <c r="A25" s="34"/>
      <c r="B25" s="29" t="s">
        <v>790</v>
      </c>
      <c r="C25" s="28" t="s">
        <v>202</v>
      </c>
      <c r="E25" s="28">
        <v>14</v>
      </c>
      <c r="G25" s="28" t="s">
        <v>45</v>
      </c>
    </row>
    <row r="26" spans="1:7" ht="19.5" customHeight="1">
      <c r="A26" s="34"/>
      <c r="B26" s="29" t="s">
        <v>791</v>
      </c>
      <c r="C26" s="28" t="s">
        <v>203</v>
      </c>
      <c r="E26" s="28">
        <v>21</v>
      </c>
      <c r="G26" s="28" t="s">
        <v>45</v>
      </c>
    </row>
    <row r="27" spans="1:7" ht="19.5" customHeight="1">
      <c r="A27" s="34"/>
      <c r="B27" s="29" t="s">
        <v>792</v>
      </c>
      <c r="C27" s="28" t="s">
        <v>204</v>
      </c>
      <c r="E27" s="28">
        <v>29</v>
      </c>
      <c r="G27" s="28" t="s">
        <v>50</v>
      </c>
    </row>
    <row r="28" spans="1:7" ht="20.25" customHeight="1">
      <c r="A28" s="34"/>
      <c r="B28" s="29" t="s">
        <v>793</v>
      </c>
      <c r="C28" s="28" t="s">
        <v>803</v>
      </c>
      <c r="E28" s="28">
        <v>29</v>
      </c>
      <c r="G28" s="28" t="s">
        <v>18</v>
      </c>
    </row>
    <row r="29" spans="1:7" ht="21" customHeight="1">
      <c r="A29" s="34"/>
      <c r="B29" s="29" t="s">
        <v>794</v>
      </c>
      <c r="C29" s="28" t="s">
        <v>922</v>
      </c>
      <c r="E29" s="28">
        <v>92</v>
      </c>
      <c r="G29" s="28" t="s">
        <v>19</v>
      </c>
    </row>
    <row r="30" spans="1:7" ht="21.75" customHeight="1">
      <c r="A30" s="34"/>
      <c r="B30" s="29" t="s">
        <v>795</v>
      </c>
      <c r="C30" s="28" t="s">
        <v>962</v>
      </c>
      <c r="E30" s="28">
        <v>10</v>
      </c>
      <c r="G30" s="28" t="s">
        <v>901</v>
      </c>
    </row>
    <row r="31" spans="1:7" ht="20.25" customHeight="1">
      <c r="A31" s="34"/>
      <c r="B31" s="29" t="s">
        <v>796</v>
      </c>
      <c r="C31" s="28" t="s">
        <v>963</v>
      </c>
      <c r="E31" s="28">
        <v>32</v>
      </c>
      <c r="G31" s="28" t="s">
        <v>901</v>
      </c>
    </row>
    <row r="32" spans="1:7" ht="20.25" customHeight="1">
      <c r="A32" s="34"/>
      <c r="B32" s="29" t="s">
        <v>797</v>
      </c>
      <c r="C32" s="28" t="s">
        <v>993</v>
      </c>
      <c r="E32" s="28">
        <v>75</v>
      </c>
      <c r="G32" s="28" t="s">
        <v>957</v>
      </c>
    </row>
    <row r="33" spans="3:5" ht="21.75" customHeight="1">
      <c r="C33" s="34" t="s">
        <v>23</v>
      </c>
      <c r="D33" s="34"/>
      <c r="E33" s="44">
        <f>SUM(E13:E32)</f>
        <v>2059</v>
      </c>
    </row>
    <row r="34" spans="3:5" ht="21.75" customHeight="1">
      <c r="C34" s="34"/>
      <c r="D34" s="34"/>
      <c r="E34" s="44"/>
    </row>
    <row r="35" spans="1:7" ht="25.5" customHeight="1">
      <c r="A35" s="34" t="s">
        <v>802</v>
      </c>
      <c r="G35" s="28" t="s">
        <v>728</v>
      </c>
    </row>
    <row r="36" spans="1:7" ht="25.5" customHeight="1">
      <c r="A36" s="34" t="s">
        <v>741</v>
      </c>
      <c r="B36" s="34"/>
      <c r="C36" s="34"/>
      <c r="D36" s="34"/>
      <c r="E36" s="34"/>
      <c r="F36" s="34"/>
      <c r="G36" s="50"/>
    </row>
    <row r="37" spans="1:7" ht="20.25" customHeight="1">
      <c r="A37" s="28" t="s">
        <v>888</v>
      </c>
      <c r="E37" s="34"/>
      <c r="F37" s="34"/>
      <c r="G37" s="42"/>
    </row>
    <row r="38" spans="1:7" ht="19.5" customHeight="1">
      <c r="A38" s="62" t="s">
        <v>841</v>
      </c>
      <c r="B38" s="28" t="s">
        <v>877</v>
      </c>
      <c r="E38" s="34"/>
      <c r="F38" s="34"/>
      <c r="G38" s="42"/>
    </row>
    <row r="39" spans="1:7" ht="19.5" customHeight="1">
      <c r="A39" s="32"/>
      <c r="B39" s="28" t="s">
        <v>804</v>
      </c>
      <c r="E39" s="34"/>
      <c r="F39" s="34"/>
      <c r="G39" s="42"/>
    </row>
    <row r="40" spans="1:7" ht="19.5" customHeight="1">
      <c r="A40" s="32" t="s">
        <v>83</v>
      </c>
      <c r="B40" s="28" t="s">
        <v>982</v>
      </c>
      <c r="E40" s="34"/>
      <c r="F40" s="34"/>
      <c r="G40" s="42"/>
    </row>
    <row r="41" s="34" customFormat="1" ht="15.75" customHeight="1">
      <c r="A41" s="34" t="s">
        <v>951</v>
      </c>
    </row>
    <row r="42" spans="2:3" ht="19.5" customHeight="1">
      <c r="B42" s="35" t="s">
        <v>12</v>
      </c>
      <c r="C42" s="63" t="s">
        <v>90</v>
      </c>
    </row>
    <row r="43" spans="2:4" ht="12.75">
      <c r="B43" s="28" t="s">
        <v>901</v>
      </c>
      <c r="C43" s="29">
        <v>6</v>
      </c>
      <c r="D43" s="31"/>
    </row>
    <row r="44" spans="2:4" ht="12.75">
      <c r="B44" s="28" t="s">
        <v>957</v>
      </c>
      <c r="C44" s="29">
        <v>8</v>
      </c>
      <c r="D44" s="31"/>
    </row>
    <row r="45" spans="2:3" ht="12.75">
      <c r="B45" s="28" t="s">
        <v>985</v>
      </c>
      <c r="C45" s="29">
        <v>4</v>
      </c>
    </row>
    <row r="46" spans="2:3" ht="12.75">
      <c r="B46" s="28" t="s">
        <v>1019</v>
      </c>
      <c r="C46" s="29">
        <v>4</v>
      </c>
    </row>
  </sheetData>
  <mergeCells count="8">
    <mergeCell ref="F1:G1"/>
    <mergeCell ref="A3:G3"/>
    <mergeCell ref="D4:E4"/>
    <mergeCell ref="A5:F5"/>
    <mergeCell ref="A7:C7"/>
    <mergeCell ref="A8:C8"/>
    <mergeCell ref="A9:C9"/>
    <mergeCell ref="C12:D12"/>
  </mergeCells>
  <printOptions/>
  <pageMargins left="0.75" right="0.53" top="0.49" bottom="0.72" header="0.41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43">
      <selection activeCell="F47" sqref="F47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6.28125" style="28" customWidth="1"/>
    <col min="4" max="4" width="13.8515625" style="28" customWidth="1"/>
    <col min="5" max="5" width="10.7109375" style="28" customWidth="1"/>
    <col min="6" max="6" width="12.421875" style="28" customWidth="1"/>
    <col min="7" max="7" width="18.0039062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">
        <v>1018</v>
      </c>
    </row>
    <row r="3" spans="1:7" ht="19.5" customHeight="1">
      <c r="A3" s="86" t="s">
        <v>1</v>
      </c>
      <c r="B3" s="86"/>
      <c r="C3" s="86"/>
      <c r="D3" s="86"/>
      <c r="E3" s="86"/>
      <c r="F3" s="86"/>
      <c r="G3" s="86"/>
    </row>
    <row r="4" spans="1:7" ht="15.75" customHeight="1">
      <c r="A4" s="30"/>
      <c r="B4" s="30"/>
      <c r="C4" s="30"/>
      <c r="D4" s="86" t="s">
        <v>805</v>
      </c>
      <c r="E4" s="86"/>
      <c r="F4" s="30"/>
      <c r="G4" s="30"/>
    </row>
    <row r="5" spans="1:6" ht="19.5" customHeight="1">
      <c r="A5" s="88" t="s">
        <v>718</v>
      </c>
      <c r="B5" s="88"/>
      <c r="C5" s="88"/>
      <c r="D5" s="88"/>
      <c r="E5" s="88"/>
      <c r="F5" s="88"/>
    </row>
    <row r="6" spans="1:7" ht="19.5" customHeight="1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9.5" customHeight="1">
      <c r="A7" s="87" t="s">
        <v>707</v>
      </c>
      <c r="B7" s="87"/>
      <c r="C7" s="87"/>
      <c r="D7" s="31">
        <v>2193</v>
      </c>
      <c r="E7" s="31">
        <v>0</v>
      </c>
      <c r="F7" s="31">
        <v>91</v>
      </c>
      <c r="G7" s="31">
        <f>SUM(D7:F7)</f>
        <v>2284</v>
      </c>
    </row>
    <row r="8" spans="1:7" ht="19.5" customHeight="1">
      <c r="A8" s="87" t="s">
        <v>92</v>
      </c>
      <c r="B8" s="87"/>
      <c r="C8" s="87"/>
      <c r="D8" s="31">
        <v>1148</v>
      </c>
      <c r="E8" s="31">
        <v>0</v>
      </c>
      <c r="F8" s="31">
        <v>0</v>
      </c>
      <c r="G8" s="31">
        <f>SUM(D8:F8)</f>
        <v>1148</v>
      </c>
    </row>
    <row r="9" spans="1:7" ht="19.5" customHeight="1">
      <c r="A9" s="87" t="s">
        <v>878</v>
      </c>
      <c r="B9" s="87"/>
      <c r="C9" s="87"/>
      <c r="D9" s="40">
        <f>D8/D7*100</f>
        <v>52.3483812129503</v>
      </c>
      <c r="E9" s="40">
        <v>0</v>
      </c>
      <c r="F9" s="40">
        <v>0</v>
      </c>
      <c r="G9" s="40">
        <f>G8/G7*100</f>
        <v>50.26269702276708</v>
      </c>
    </row>
    <row r="10" spans="4:7" ht="11.25" customHeight="1">
      <c r="D10" s="31"/>
      <c r="E10" s="31"/>
      <c r="F10" s="31"/>
      <c r="G10" s="31"/>
    </row>
    <row r="11" ht="21.75" customHeight="1">
      <c r="A11" s="34" t="s">
        <v>806</v>
      </c>
    </row>
    <row r="12" spans="1:7" ht="25.5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1:7" ht="19.5" customHeight="1">
      <c r="A13" s="34"/>
      <c r="B13" s="29" t="s">
        <v>140</v>
      </c>
      <c r="C13" s="28" t="s">
        <v>209</v>
      </c>
      <c r="E13" s="28">
        <v>25</v>
      </c>
      <c r="G13" s="28" t="s">
        <v>210</v>
      </c>
    </row>
    <row r="14" spans="1:7" ht="32.25" customHeight="1">
      <c r="A14" s="34"/>
      <c r="B14" s="29" t="s">
        <v>97</v>
      </c>
      <c r="C14" s="83" t="s">
        <v>807</v>
      </c>
      <c r="D14" s="83"/>
      <c r="E14" s="28">
        <v>26</v>
      </c>
      <c r="G14" s="28" t="s">
        <v>103</v>
      </c>
    </row>
    <row r="15" spans="1:7" ht="19.5" customHeight="1">
      <c r="A15" s="34"/>
      <c r="B15" s="29" t="s">
        <v>146</v>
      </c>
      <c r="C15" s="28" t="s">
        <v>211</v>
      </c>
      <c r="E15" s="28">
        <v>188</v>
      </c>
      <c r="G15" s="28" t="s">
        <v>212</v>
      </c>
    </row>
    <row r="16" spans="1:7" ht="21.75" customHeight="1">
      <c r="A16" s="34"/>
      <c r="B16" s="29" t="s">
        <v>148</v>
      </c>
      <c r="C16" s="28" t="s">
        <v>213</v>
      </c>
      <c r="E16" s="28">
        <v>149</v>
      </c>
      <c r="G16" s="28" t="s">
        <v>214</v>
      </c>
    </row>
    <row r="17" spans="1:7" ht="16.5" customHeight="1">
      <c r="A17" s="34"/>
      <c r="B17" s="29" t="s">
        <v>150</v>
      </c>
      <c r="C17" s="28" t="s">
        <v>215</v>
      </c>
      <c r="E17" s="28">
        <v>20</v>
      </c>
      <c r="G17" s="28" t="s">
        <v>216</v>
      </c>
    </row>
    <row r="18" spans="1:7" ht="16.5" customHeight="1">
      <c r="A18" s="34"/>
      <c r="B18" s="29" t="s">
        <v>162</v>
      </c>
      <c r="C18" s="28" t="s">
        <v>217</v>
      </c>
      <c r="E18" s="28">
        <v>3</v>
      </c>
      <c r="G18" s="28" t="s">
        <v>50</v>
      </c>
    </row>
    <row r="19" spans="1:7" ht="16.5" customHeight="1">
      <c r="A19" s="34"/>
      <c r="B19" s="29" t="s">
        <v>163</v>
      </c>
      <c r="C19" s="28" t="s">
        <v>218</v>
      </c>
      <c r="E19" s="28">
        <v>28</v>
      </c>
      <c r="G19" s="28" t="s">
        <v>61</v>
      </c>
    </row>
    <row r="20" spans="1:7" ht="16.5" customHeight="1">
      <c r="A20" s="34"/>
      <c r="B20" s="29" t="s">
        <v>165</v>
      </c>
      <c r="C20" s="28" t="s">
        <v>219</v>
      </c>
      <c r="E20" s="28">
        <v>37</v>
      </c>
      <c r="G20" s="28" t="s">
        <v>65</v>
      </c>
    </row>
    <row r="21" spans="1:7" ht="16.5" customHeight="1">
      <c r="A21" s="34"/>
      <c r="B21" s="29" t="s">
        <v>787</v>
      </c>
      <c r="C21" s="28" t="s">
        <v>220</v>
      </c>
      <c r="E21" s="28">
        <v>21</v>
      </c>
      <c r="G21" s="28" t="s">
        <v>65</v>
      </c>
    </row>
    <row r="22" spans="1:7" ht="16.5" customHeight="1">
      <c r="A22" s="34"/>
      <c r="B22" s="29" t="s">
        <v>788</v>
      </c>
      <c r="C22" s="28" t="s">
        <v>221</v>
      </c>
      <c r="E22" s="28">
        <v>14</v>
      </c>
      <c r="G22" s="28" t="s">
        <v>69</v>
      </c>
    </row>
    <row r="23" spans="1:7" ht="16.5" customHeight="1">
      <c r="A23" s="34"/>
      <c r="B23" s="29" t="s">
        <v>789</v>
      </c>
      <c r="C23" s="28" t="s">
        <v>222</v>
      </c>
      <c r="E23" s="28">
        <v>8</v>
      </c>
      <c r="G23" s="28" t="s">
        <v>69</v>
      </c>
    </row>
    <row r="24" spans="1:7" ht="16.5" customHeight="1">
      <c r="A24" s="34"/>
      <c r="B24" s="29" t="s">
        <v>790</v>
      </c>
      <c r="C24" s="28" t="s">
        <v>223</v>
      </c>
      <c r="E24" s="28">
        <v>16</v>
      </c>
      <c r="G24" s="28" t="s">
        <v>69</v>
      </c>
    </row>
    <row r="25" spans="1:7" ht="16.5" customHeight="1">
      <c r="A25" s="34"/>
      <c r="B25" s="29" t="s">
        <v>791</v>
      </c>
      <c r="C25" s="28" t="s">
        <v>224</v>
      </c>
      <c r="E25" s="28">
        <v>16</v>
      </c>
      <c r="G25" s="28" t="s">
        <v>69</v>
      </c>
    </row>
    <row r="26" spans="1:7" ht="16.5" customHeight="1">
      <c r="A26" s="34"/>
      <c r="B26" s="29" t="s">
        <v>792</v>
      </c>
      <c r="C26" s="28" t="s">
        <v>225</v>
      </c>
      <c r="E26" s="28">
        <v>24</v>
      </c>
      <c r="G26" s="28" t="s">
        <v>226</v>
      </c>
    </row>
    <row r="27" spans="2:7" ht="16.5" customHeight="1">
      <c r="B27" s="29" t="s">
        <v>793</v>
      </c>
      <c r="C27" s="28" t="s">
        <v>808</v>
      </c>
      <c r="E27" s="28">
        <v>126</v>
      </c>
      <c r="G27" s="28" t="s">
        <v>18</v>
      </c>
    </row>
    <row r="28" spans="2:7" ht="16.5" customHeight="1">
      <c r="B28" s="50" t="s">
        <v>794</v>
      </c>
      <c r="C28" s="42" t="s">
        <v>809</v>
      </c>
      <c r="D28" s="42"/>
      <c r="E28" s="51">
        <v>27</v>
      </c>
      <c r="G28" s="28" t="s">
        <v>18</v>
      </c>
    </row>
    <row r="29" spans="2:7" ht="18.75" customHeight="1">
      <c r="B29" s="50" t="s">
        <v>795</v>
      </c>
      <c r="C29" s="42" t="s">
        <v>810</v>
      </c>
      <c r="D29" s="42"/>
      <c r="E29" s="51">
        <v>8</v>
      </c>
      <c r="G29" s="28" t="s">
        <v>18</v>
      </c>
    </row>
    <row r="30" spans="2:7" ht="23.25" customHeight="1">
      <c r="B30" s="50" t="s">
        <v>796</v>
      </c>
      <c r="C30" s="28" t="s">
        <v>928</v>
      </c>
      <c r="D30" s="42"/>
      <c r="E30" s="51">
        <v>43</v>
      </c>
      <c r="G30" s="28" t="s">
        <v>19</v>
      </c>
    </row>
    <row r="31" spans="2:7" ht="19.5" customHeight="1">
      <c r="B31" s="50" t="s">
        <v>797</v>
      </c>
      <c r="C31" s="42" t="s">
        <v>929</v>
      </c>
      <c r="D31" s="42"/>
      <c r="E31" s="51">
        <v>16</v>
      </c>
      <c r="G31" s="28" t="s">
        <v>19</v>
      </c>
    </row>
    <row r="32" spans="2:7" ht="29.25" customHeight="1">
      <c r="B32" s="50" t="s">
        <v>798</v>
      </c>
      <c r="C32" s="94" t="s">
        <v>930</v>
      </c>
      <c r="D32" s="94"/>
      <c r="E32" s="51">
        <v>5</v>
      </c>
      <c r="G32" s="28" t="s">
        <v>19</v>
      </c>
    </row>
    <row r="33" spans="2:7" ht="20.25" customHeight="1">
      <c r="B33" s="50" t="s">
        <v>172</v>
      </c>
      <c r="C33" s="94" t="s">
        <v>964</v>
      </c>
      <c r="D33" s="94"/>
      <c r="E33" s="51">
        <v>81</v>
      </c>
      <c r="G33" s="28" t="s">
        <v>901</v>
      </c>
    </row>
    <row r="34" spans="2:7" ht="18" customHeight="1">
      <c r="B34" s="50" t="s">
        <v>799</v>
      </c>
      <c r="C34" s="94" t="s">
        <v>965</v>
      </c>
      <c r="D34" s="94"/>
      <c r="E34" s="51">
        <v>15</v>
      </c>
      <c r="G34" s="28" t="s">
        <v>901</v>
      </c>
    </row>
    <row r="35" spans="2:7" ht="18.75" customHeight="1">
      <c r="B35" s="50" t="s">
        <v>856</v>
      </c>
      <c r="C35" s="94" t="s">
        <v>967</v>
      </c>
      <c r="D35" s="94"/>
      <c r="E35" s="51">
        <v>37</v>
      </c>
      <c r="G35" s="28" t="s">
        <v>901</v>
      </c>
    </row>
    <row r="36" spans="2:7" ht="18.75" customHeight="1">
      <c r="B36" s="50" t="s">
        <v>966</v>
      </c>
      <c r="C36" s="94" t="s">
        <v>994</v>
      </c>
      <c r="D36" s="94"/>
      <c r="E36" s="51">
        <v>3</v>
      </c>
      <c r="G36" s="28" t="s">
        <v>957</v>
      </c>
    </row>
    <row r="37" spans="2:7" ht="18.75" customHeight="1">
      <c r="B37" s="50" t="s">
        <v>860</v>
      </c>
      <c r="C37" s="71" t="s">
        <v>995</v>
      </c>
      <c r="D37" s="71"/>
      <c r="E37" s="51">
        <v>10</v>
      </c>
      <c r="G37" s="28" t="s">
        <v>432</v>
      </c>
    </row>
    <row r="38" spans="2:7" ht="18.75" customHeight="1">
      <c r="B38" s="50" t="s">
        <v>861</v>
      </c>
      <c r="C38" s="94" t="s">
        <v>996</v>
      </c>
      <c r="D38" s="94"/>
      <c r="E38" s="51">
        <v>27</v>
      </c>
      <c r="G38" s="28" t="s">
        <v>432</v>
      </c>
    </row>
    <row r="39" spans="2:7" ht="18.75" customHeight="1">
      <c r="B39" s="50" t="s">
        <v>863</v>
      </c>
      <c r="C39" s="71" t="s">
        <v>997</v>
      </c>
      <c r="D39" s="71"/>
      <c r="E39" s="51">
        <v>50</v>
      </c>
      <c r="G39" s="28" t="s">
        <v>432</v>
      </c>
    </row>
    <row r="40" spans="2:7" ht="27.75" customHeight="1">
      <c r="B40" s="50" t="s">
        <v>864</v>
      </c>
      <c r="C40" s="95" t="s">
        <v>1039</v>
      </c>
      <c r="D40" s="95"/>
      <c r="E40" s="51">
        <v>40</v>
      </c>
      <c r="G40" s="28" t="s">
        <v>985</v>
      </c>
    </row>
    <row r="41" spans="2:7" ht="18.75" customHeight="1">
      <c r="B41" s="50" t="s">
        <v>866</v>
      </c>
      <c r="C41" s="94" t="s">
        <v>1040</v>
      </c>
      <c r="D41" s="94"/>
      <c r="E41" s="51">
        <v>33</v>
      </c>
      <c r="G41" s="28" t="s">
        <v>432</v>
      </c>
    </row>
    <row r="42" spans="2:7" ht="18.75" customHeight="1">
      <c r="B42" s="50" t="s">
        <v>867</v>
      </c>
      <c r="C42" s="71" t="s">
        <v>1029</v>
      </c>
      <c r="D42" s="71"/>
      <c r="E42" s="51">
        <v>41</v>
      </c>
      <c r="G42" s="28" t="s">
        <v>432</v>
      </c>
    </row>
    <row r="43" spans="2:7" ht="18.75" customHeight="1">
      <c r="B43" s="50" t="s">
        <v>869</v>
      </c>
      <c r="C43" s="94" t="s">
        <v>1030</v>
      </c>
      <c r="D43" s="94"/>
      <c r="E43" s="51">
        <v>11</v>
      </c>
      <c r="G43" s="28" t="s">
        <v>432</v>
      </c>
    </row>
    <row r="44" spans="3:5" ht="21" customHeight="1">
      <c r="C44" s="34" t="s">
        <v>23</v>
      </c>
      <c r="D44" s="34"/>
      <c r="E44" s="44">
        <f>SUM(E13:E43)</f>
        <v>1148</v>
      </c>
    </row>
    <row r="45" ht="27" customHeight="1">
      <c r="A45" s="34" t="s">
        <v>811</v>
      </c>
    </row>
    <row r="46" spans="1:7" ht="38.25" customHeight="1">
      <c r="A46" s="43" t="s">
        <v>704</v>
      </c>
      <c r="B46" s="36"/>
      <c r="C46" s="47" t="s">
        <v>812</v>
      </c>
      <c r="D46" s="47" t="s">
        <v>78</v>
      </c>
      <c r="E46" s="47" t="s">
        <v>10</v>
      </c>
      <c r="F46" s="64" t="s">
        <v>716</v>
      </c>
      <c r="G46" s="47" t="s">
        <v>11</v>
      </c>
    </row>
    <row r="47" spans="1:7" ht="93" customHeight="1">
      <c r="A47" s="82" t="s">
        <v>931</v>
      </c>
      <c r="B47" s="82"/>
      <c r="C47" s="58">
        <v>486</v>
      </c>
      <c r="D47" s="58">
        <v>363</v>
      </c>
      <c r="E47" s="58">
        <f>C47-D47</f>
        <v>123</v>
      </c>
      <c r="F47" s="58">
        <v>292.5</v>
      </c>
      <c r="G47" s="76" t="s">
        <v>1064</v>
      </c>
    </row>
    <row r="48" spans="1:7" ht="32.25" customHeight="1">
      <c r="A48" s="82" t="s">
        <v>1041</v>
      </c>
      <c r="B48" s="82"/>
      <c r="C48" s="82"/>
      <c r="D48" s="82"/>
      <c r="E48" s="82"/>
      <c r="F48" s="82"/>
      <c r="G48" s="82"/>
    </row>
    <row r="49" spans="1:7" ht="21" customHeight="1">
      <c r="A49" s="34" t="s">
        <v>741</v>
      </c>
      <c r="B49" s="34"/>
      <c r="C49" s="34"/>
      <c r="D49" s="34"/>
      <c r="E49" s="34"/>
      <c r="F49" s="51"/>
      <c r="G49" s="42"/>
    </row>
    <row r="50" spans="1:7" ht="19.5" customHeight="1">
      <c r="A50" s="28" t="s">
        <v>876</v>
      </c>
      <c r="E50" s="34"/>
      <c r="F50" s="34"/>
      <c r="G50" s="42"/>
    </row>
    <row r="51" spans="1:7" ht="19.5" customHeight="1">
      <c r="A51" s="32"/>
      <c r="B51" s="28" t="s">
        <v>900</v>
      </c>
      <c r="E51" s="34"/>
      <c r="F51" s="34"/>
      <c r="G51" s="42"/>
    </row>
    <row r="52" spans="1:7" ht="19.5" customHeight="1">
      <c r="A52" s="32"/>
      <c r="B52" s="28" t="s">
        <v>883</v>
      </c>
      <c r="E52" s="34"/>
      <c r="F52" s="34"/>
      <c r="G52" s="42"/>
    </row>
    <row r="53" s="34" customFormat="1" ht="19.5" customHeight="1">
      <c r="A53" s="34" t="s">
        <v>946</v>
      </c>
    </row>
    <row r="54" spans="2:4" ht="15.75" customHeight="1">
      <c r="B54" s="28" t="s">
        <v>901</v>
      </c>
      <c r="C54" s="29">
        <v>28.57</v>
      </c>
      <c r="D54" s="31"/>
    </row>
    <row r="55" spans="2:4" ht="15.75" customHeight="1">
      <c r="B55" s="28" t="s">
        <v>957</v>
      </c>
      <c r="C55" s="29">
        <v>51</v>
      </c>
      <c r="D55" s="31"/>
    </row>
    <row r="56" spans="2:3" ht="12.75">
      <c r="B56" s="28" t="s">
        <v>985</v>
      </c>
      <c r="C56" s="29">
        <v>73</v>
      </c>
    </row>
    <row r="57" spans="2:3" ht="12.75">
      <c r="B57" s="46" t="s">
        <v>1019</v>
      </c>
      <c r="C57" s="29">
        <v>25</v>
      </c>
    </row>
    <row r="58" spans="1:2" ht="12.75">
      <c r="A58" s="5"/>
      <c r="B58" s="5"/>
    </row>
  </sheetData>
  <mergeCells count="20">
    <mergeCell ref="C41:D41"/>
    <mergeCell ref="C43:D43"/>
    <mergeCell ref="F1:G1"/>
    <mergeCell ref="A3:G3"/>
    <mergeCell ref="D4:E4"/>
    <mergeCell ref="A5:F5"/>
    <mergeCell ref="A7:C7"/>
    <mergeCell ref="A8:C8"/>
    <mergeCell ref="A9:C9"/>
    <mergeCell ref="C12:D12"/>
    <mergeCell ref="A48:G48"/>
    <mergeCell ref="C14:D14"/>
    <mergeCell ref="A47:B47"/>
    <mergeCell ref="C32:D32"/>
    <mergeCell ref="C33:D33"/>
    <mergeCell ref="C34:D34"/>
    <mergeCell ref="C35:D35"/>
    <mergeCell ref="C36:D36"/>
    <mergeCell ref="C38:D38"/>
    <mergeCell ref="C40:D40"/>
  </mergeCells>
  <printOptions/>
  <pageMargins left="0.75" right="0.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41"/>
  <sheetViews>
    <sheetView workbookViewId="0" topLeftCell="A2">
      <selection activeCell="C9" sqref="C9"/>
    </sheetView>
  </sheetViews>
  <sheetFormatPr defaultColWidth="9.140625" defaultRowHeight="12.75"/>
  <cols>
    <col min="2" max="2" width="11.140625" style="0" customWidth="1"/>
    <col min="4" max="4" width="12.421875" style="0" customWidth="1"/>
    <col min="5" max="5" width="11.57421875" style="0" customWidth="1"/>
    <col min="7" max="7" width="11.8515625" style="0" customWidth="1"/>
    <col min="8" max="8" width="13.7109375" style="0" customWidth="1"/>
  </cols>
  <sheetData>
    <row r="1" spans="2:8" ht="12.75">
      <c r="B1" s="28"/>
      <c r="C1" s="28"/>
      <c r="D1" s="28"/>
      <c r="E1" s="28"/>
      <c r="F1" s="28"/>
      <c r="G1" s="86" t="s">
        <v>0</v>
      </c>
      <c r="H1" s="86"/>
    </row>
    <row r="2" spans="2:8" ht="12.75">
      <c r="B2" s="28"/>
      <c r="C2" s="28"/>
      <c r="D2" s="28"/>
      <c r="E2" s="28"/>
      <c r="F2" s="28"/>
      <c r="G2" s="29"/>
      <c r="H2" s="29" t="s">
        <v>1018</v>
      </c>
    </row>
    <row r="3" spans="2:8" ht="12.75">
      <c r="B3" s="86" t="s">
        <v>1042</v>
      </c>
      <c r="C3" s="86"/>
      <c r="D3" s="86"/>
      <c r="E3" s="86"/>
      <c r="F3" s="86"/>
      <c r="G3" s="86"/>
      <c r="H3" s="86"/>
    </row>
    <row r="4" spans="2:8" ht="12.75">
      <c r="B4" s="30"/>
      <c r="C4" s="30"/>
      <c r="D4" s="30"/>
      <c r="E4" s="30" t="s">
        <v>1043</v>
      </c>
      <c r="F4" s="30"/>
      <c r="G4" s="30"/>
      <c r="H4" s="30"/>
    </row>
    <row r="5" spans="2:8" ht="12.75">
      <c r="B5" s="30"/>
      <c r="C5" s="30"/>
      <c r="D5" s="30"/>
      <c r="F5" s="30"/>
      <c r="G5" s="30"/>
      <c r="H5" s="30"/>
    </row>
    <row r="6" spans="2:8" ht="12.75">
      <c r="B6" s="30"/>
      <c r="C6" s="30"/>
      <c r="D6" s="30"/>
      <c r="E6" s="30"/>
      <c r="F6" s="30"/>
      <c r="G6" s="30"/>
      <c r="H6" s="30"/>
    </row>
    <row r="7" spans="2:8" ht="12.75">
      <c r="B7" s="30"/>
      <c r="C7" s="30"/>
      <c r="D7" s="30"/>
      <c r="E7" s="30"/>
      <c r="F7" s="30"/>
      <c r="G7" s="30"/>
      <c r="H7" s="30"/>
    </row>
    <row r="8" spans="2:8" ht="12.75">
      <c r="B8" s="88" t="s">
        <v>874</v>
      </c>
      <c r="C8" s="88"/>
      <c r="D8" s="88"/>
      <c r="E8" s="88"/>
      <c r="F8" s="88"/>
      <c r="G8" s="88"/>
      <c r="H8" s="28"/>
    </row>
    <row r="9" spans="2:8" ht="12.75">
      <c r="B9" s="39"/>
      <c r="C9" s="39"/>
      <c r="D9" s="39"/>
      <c r="E9" s="39"/>
      <c r="F9" s="39"/>
      <c r="G9" s="39"/>
      <c r="H9" s="28"/>
    </row>
    <row r="10" spans="2:8" ht="12.75">
      <c r="B10" s="31"/>
      <c r="C10" s="31"/>
      <c r="D10" s="31"/>
      <c r="E10" s="39" t="s">
        <v>20</v>
      </c>
      <c r="F10" s="39" t="s">
        <v>21</v>
      </c>
      <c r="G10" s="39" t="s">
        <v>22</v>
      </c>
      <c r="H10" s="39" t="s">
        <v>23</v>
      </c>
    </row>
    <row r="11" spans="2:8" ht="12.75">
      <c r="B11" s="87" t="s">
        <v>707</v>
      </c>
      <c r="C11" s="87"/>
      <c r="D11" s="87"/>
      <c r="E11" s="31">
        <v>2086</v>
      </c>
      <c r="F11" s="31">
        <v>0</v>
      </c>
      <c r="G11" s="31">
        <v>12</v>
      </c>
      <c r="H11" s="31">
        <f>SUM(E11:G11)</f>
        <v>2098</v>
      </c>
    </row>
    <row r="12" spans="2:8" ht="12.75">
      <c r="B12" s="87" t="s">
        <v>92</v>
      </c>
      <c r="C12" s="87"/>
      <c r="D12" s="87"/>
      <c r="E12" s="31">
        <v>379</v>
      </c>
      <c r="F12" s="31">
        <v>0</v>
      </c>
      <c r="G12" s="31">
        <v>0</v>
      </c>
      <c r="H12" s="31">
        <f>SUM(E12:G12)</f>
        <v>379</v>
      </c>
    </row>
    <row r="13" spans="2:8" ht="12.75">
      <c r="B13" s="87" t="s">
        <v>878</v>
      </c>
      <c r="C13" s="87"/>
      <c r="D13" s="87"/>
      <c r="E13" s="40">
        <f>E12/E11*100</f>
        <v>18.16874400767018</v>
      </c>
      <c r="F13" s="40">
        <v>0</v>
      </c>
      <c r="G13" s="40">
        <v>0</v>
      </c>
      <c r="H13" s="40">
        <f>H12/H11*100</f>
        <v>18.064823641563393</v>
      </c>
    </row>
    <row r="14" spans="2:8" ht="12.75">
      <c r="B14" s="28"/>
      <c r="C14" s="28"/>
      <c r="D14" s="28"/>
      <c r="E14" s="31"/>
      <c r="F14" s="31"/>
      <c r="G14" s="31"/>
      <c r="H14" s="31"/>
    </row>
    <row r="15" spans="2:8" ht="12.75">
      <c r="B15" s="28"/>
      <c r="C15" s="28"/>
      <c r="D15" s="28"/>
      <c r="E15" s="31"/>
      <c r="F15" s="31"/>
      <c r="G15" s="31"/>
      <c r="H15" s="31"/>
    </row>
    <row r="16" spans="2:8" ht="12.75">
      <c r="B16" s="34" t="s">
        <v>813</v>
      </c>
      <c r="C16" s="28"/>
      <c r="D16" s="28"/>
      <c r="E16" s="28"/>
      <c r="F16" s="28"/>
      <c r="G16" s="28"/>
      <c r="H16" s="28"/>
    </row>
    <row r="17" spans="2:8" ht="12.75">
      <c r="B17" s="34"/>
      <c r="C17" s="28"/>
      <c r="D17" s="28"/>
      <c r="E17" s="28"/>
      <c r="F17" s="28"/>
      <c r="G17" s="28"/>
      <c r="H17" s="28"/>
    </row>
    <row r="18" spans="2:8" ht="25.5">
      <c r="B18" s="34"/>
      <c r="C18" s="30" t="s">
        <v>2</v>
      </c>
      <c r="D18" s="86" t="s">
        <v>3</v>
      </c>
      <c r="E18" s="86"/>
      <c r="F18" s="30" t="s">
        <v>4</v>
      </c>
      <c r="G18" s="28"/>
      <c r="H18" s="43" t="s">
        <v>988</v>
      </c>
    </row>
    <row r="19" spans="2:8" ht="20.25" customHeight="1">
      <c r="B19" s="34"/>
      <c r="C19" s="29" t="s">
        <v>140</v>
      </c>
      <c r="D19" s="97" t="s">
        <v>814</v>
      </c>
      <c r="E19" s="92"/>
      <c r="F19" s="29">
        <v>53</v>
      </c>
      <c r="G19" s="28"/>
      <c r="H19" s="29" t="s">
        <v>50</v>
      </c>
    </row>
    <row r="20" spans="2:8" ht="12.75">
      <c r="B20" s="34"/>
      <c r="C20" s="29" t="s">
        <v>97</v>
      </c>
      <c r="D20" s="28" t="s">
        <v>1007</v>
      </c>
      <c r="E20" s="28"/>
      <c r="F20" s="29">
        <v>56</v>
      </c>
      <c r="G20" s="28"/>
      <c r="H20" s="29" t="s">
        <v>61</v>
      </c>
    </row>
    <row r="21" spans="2:8" ht="12.75">
      <c r="B21" s="34"/>
      <c r="C21" s="29" t="s">
        <v>144</v>
      </c>
      <c r="D21" s="28" t="s">
        <v>242</v>
      </c>
      <c r="E21" s="28"/>
      <c r="F21" s="29">
        <v>26</v>
      </c>
      <c r="G21" s="28"/>
      <c r="H21" s="29" t="s">
        <v>69</v>
      </c>
    </row>
    <row r="22" spans="2:8" ht="12.75">
      <c r="B22" s="34"/>
      <c r="C22" s="29" t="s">
        <v>146</v>
      </c>
      <c r="D22" s="28" t="s">
        <v>243</v>
      </c>
      <c r="E22" s="28"/>
      <c r="F22" s="29">
        <v>24</v>
      </c>
      <c r="G22" s="28"/>
      <c r="H22" s="29" t="s">
        <v>69</v>
      </c>
    </row>
    <row r="23" spans="2:8" ht="12.75">
      <c r="B23" s="34"/>
      <c r="C23" s="29" t="s">
        <v>148</v>
      </c>
      <c r="D23" s="28" t="s">
        <v>815</v>
      </c>
      <c r="E23" s="28"/>
      <c r="F23" s="29">
        <v>27</v>
      </c>
      <c r="G23" s="28"/>
      <c r="H23" s="29" t="s">
        <v>550</v>
      </c>
    </row>
    <row r="24" spans="2:8" ht="12.75">
      <c r="B24" s="34"/>
      <c r="C24" s="29" t="s">
        <v>150</v>
      </c>
      <c r="D24" s="28" t="s">
        <v>816</v>
      </c>
      <c r="E24" s="28"/>
      <c r="F24" s="29">
        <v>10</v>
      </c>
      <c r="G24" s="28"/>
      <c r="H24" s="29" t="s">
        <v>550</v>
      </c>
    </row>
    <row r="25" spans="2:8" ht="12.75">
      <c r="B25" s="34"/>
      <c r="C25" s="29" t="s">
        <v>162</v>
      </c>
      <c r="D25" s="28" t="s">
        <v>817</v>
      </c>
      <c r="E25" s="28"/>
      <c r="F25" s="29">
        <v>46</v>
      </c>
      <c r="G25" s="28"/>
      <c r="H25" s="29" t="s">
        <v>551</v>
      </c>
    </row>
    <row r="26" spans="2:8" ht="12.75">
      <c r="B26" s="34"/>
      <c r="C26" s="29" t="s">
        <v>163</v>
      </c>
      <c r="D26" s="28" t="s">
        <v>968</v>
      </c>
      <c r="E26" s="28"/>
      <c r="F26" s="29">
        <v>36</v>
      </c>
      <c r="G26" s="28"/>
      <c r="H26" s="29" t="s">
        <v>901</v>
      </c>
    </row>
    <row r="27" spans="2:8" ht="12.75">
      <c r="B27" s="34"/>
      <c r="C27" s="29" t="s">
        <v>165</v>
      </c>
      <c r="D27" s="28" t="s">
        <v>998</v>
      </c>
      <c r="E27" s="28"/>
      <c r="F27" s="29">
        <v>101</v>
      </c>
      <c r="G27" s="28"/>
      <c r="H27" s="29" t="s">
        <v>957</v>
      </c>
    </row>
    <row r="28" spans="2:8" ht="12.75">
      <c r="B28" s="34"/>
      <c r="C28" s="30"/>
      <c r="D28" s="30" t="s">
        <v>82</v>
      </c>
      <c r="E28" s="30"/>
      <c r="F28" s="30">
        <f>SUM(F19:F27)</f>
        <v>379</v>
      </c>
      <c r="G28" s="28"/>
      <c r="H28" s="43"/>
    </row>
    <row r="29" spans="2:8" ht="12.75">
      <c r="B29" s="34"/>
      <c r="C29" s="30"/>
      <c r="D29" s="30"/>
      <c r="E29" s="30"/>
      <c r="F29" s="39"/>
      <c r="G29" s="28"/>
      <c r="H29" s="43"/>
    </row>
    <row r="30" spans="2:8" ht="12.75">
      <c r="B30" s="34" t="s">
        <v>818</v>
      </c>
      <c r="C30" s="29"/>
      <c r="D30" s="28"/>
      <c r="E30" s="28"/>
      <c r="F30" s="31"/>
      <c r="G30" s="28"/>
      <c r="H30" s="28" t="s">
        <v>134</v>
      </c>
    </row>
    <row r="31" spans="2:9" ht="15.75" customHeight="1">
      <c r="B31" s="4"/>
      <c r="C31" s="55"/>
      <c r="D31" s="55"/>
      <c r="E31" s="55"/>
      <c r="F31" s="55"/>
      <c r="G31" s="55"/>
      <c r="H31" s="55"/>
      <c r="I31" s="55"/>
    </row>
    <row r="32" spans="2:8" ht="18" customHeight="1">
      <c r="B32" s="34" t="s">
        <v>741</v>
      </c>
      <c r="C32" s="29"/>
      <c r="D32" s="28"/>
      <c r="E32" s="28"/>
      <c r="F32" s="31"/>
      <c r="G32" s="28"/>
      <c r="H32" s="28"/>
    </row>
    <row r="33" spans="2:8" ht="24.75" customHeight="1">
      <c r="B33" s="96" t="s">
        <v>1017</v>
      </c>
      <c r="C33" s="96"/>
      <c r="D33" s="96"/>
      <c r="E33" s="96"/>
      <c r="F33" s="96"/>
      <c r="G33" s="96"/>
      <c r="H33" s="96"/>
    </row>
    <row r="34" spans="2:8" ht="16.5" customHeight="1">
      <c r="B34" s="96"/>
      <c r="C34" s="96"/>
      <c r="D34" s="96"/>
      <c r="E34" s="96"/>
      <c r="F34" s="96"/>
      <c r="G34" s="96"/>
      <c r="H34" s="96"/>
    </row>
    <row r="35" spans="2:8" ht="16.5" customHeight="1">
      <c r="B35" s="34" t="s">
        <v>946</v>
      </c>
      <c r="C35" s="34"/>
      <c r="D35" s="34"/>
      <c r="E35" s="34"/>
      <c r="F35" s="54"/>
      <c r="G35" s="54"/>
      <c r="H35" s="54"/>
    </row>
    <row r="36" spans="2:8" ht="12.75">
      <c r="B36" s="28"/>
      <c r="C36" s="28" t="s">
        <v>901</v>
      </c>
      <c r="D36" s="29">
        <v>21</v>
      </c>
      <c r="E36" s="31"/>
      <c r="F36" s="31"/>
      <c r="G36" s="28"/>
      <c r="H36" s="28"/>
    </row>
    <row r="37" spans="2:8" ht="14.25" customHeight="1">
      <c r="B37" s="28"/>
      <c r="C37" s="28" t="s">
        <v>957</v>
      </c>
      <c r="D37" s="29">
        <v>10</v>
      </c>
      <c r="E37" s="31"/>
      <c r="F37" s="28"/>
      <c r="G37" s="28"/>
      <c r="H37" s="28"/>
    </row>
    <row r="38" spans="2:8" ht="12.75">
      <c r="B38" s="28"/>
      <c r="C38" s="28" t="s">
        <v>985</v>
      </c>
      <c r="D38" s="29">
        <v>8</v>
      </c>
      <c r="E38" s="28"/>
      <c r="F38" s="28"/>
      <c r="G38" s="28"/>
      <c r="H38" s="28"/>
    </row>
    <row r="39" spans="2:5" ht="12.75">
      <c r="B39" s="28"/>
      <c r="C39" s="28" t="s">
        <v>1019</v>
      </c>
      <c r="D39" s="29">
        <v>1</v>
      </c>
      <c r="E39" s="28"/>
    </row>
    <row r="40" spans="2:5" ht="12.75">
      <c r="B40" s="28"/>
      <c r="D40" s="28"/>
      <c r="E40" s="28"/>
    </row>
    <row r="41" spans="2:5" ht="12.75">
      <c r="B41" s="28"/>
      <c r="C41" s="28"/>
      <c r="D41" s="28"/>
      <c r="E41" s="28"/>
    </row>
  </sheetData>
  <mergeCells count="10">
    <mergeCell ref="G1:H1"/>
    <mergeCell ref="B3:H3"/>
    <mergeCell ref="B8:G8"/>
    <mergeCell ref="B34:H34"/>
    <mergeCell ref="D19:E19"/>
    <mergeCell ref="B33:H33"/>
    <mergeCell ref="B11:D11"/>
    <mergeCell ref="B12:D12"/>
    <mergeCell ref="B13:D13"/>
    <mergeCell ref="D18:E18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H20" sqref="H20"/>
    </sheetView>
  </sheetViews>
  <sheetFormatPr defaultColWidth="9.140625" defaultRowHeight="12.75"/>
  <cols>
    <col min="3" max="3" width="11.421875" style="0" customWidth="1"/>
    <col min="4" max="4" width="11.8515625" style="0" customWidth="1"/>
    <col min="6" max="6" width="12.8515625" style="0" customWidth="1"/>
    <col min="7" max="7" width="16.140625" style="0" customWidth="1"/>
  </cols>
  <sheetData>
    <row r="1" spans="1:7" ht="12.75">
      <c r="A1" s="28"/>
      <c r="B1" s="28"/>
      <c r="C1" s="28"/>
      <c r="D1" s="28"/>
      <c r="E1" s="28"/>
      <c r="F1" s="85" t="s">
        <v>0</v>
      </c>
      <c r="G1" s="85"/>
    </row>
    <row r="2" spans="1:7" ht="12.75">
      <c r="A2" s="28"/>
      <c r="B2" s="28"/>
      <c r="C2" s="28"/>
      <c r="D2" s="28"/>
      <c r="E2" s="28"/>
      <c r="F2" s="29"/>
      <c r="G2" s="31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12.75">
      <c r="A4" s="30"/>
      <c r="B4" s="30"/>
      <c r="C4" s="30"/>
      <c r="D4" s="86" t="s">
        <v>819</v>
      </c>
      <c r="E4" s="86"/>
      <c r="F4" s="30"/>
      <c r="G4" s="30"/>
    </row>
    <row r="5" spans="1:7" ht="12.75">
      <c r="A5" s="30"/>
      <c r="B5" s="30"/>
      <c r="C5" s="30"/>
      <c r="D5" s="30"/>
      <c r="E5" s="30"/>
      <c r="F5" s="30"/>
      <c r="G5" s="30"/>
    </row>
    <row r="6" spans="1:7" ht="12.75">
      <c r="A6" s="88" t="s">
        <v>718</v>
      </c>
      <c r="B6" s="88"/>
      <c r="C6" s="88"/>
      <c r="D6" s="88"/>
      <c r="E6" s="88"/>
      <c r="F6" s="88"/>
      <c r="G6" s="92"/>
    </row>
    <row r="7" spans="1:7" ht="12.75">
      <c r="A7" s="31"/>
      <c r="B7" s="31"/>
      <c r="C7" s="31"/>
      <c r="D7" s="31" t="s">
        <v>20</v>
      </c>
      <c r="E7" s="31" t="s">
        <v>21</v>
      </c>
      <c r="F7" s="31" t="s">
        <v>22</v>
      </c>
      <c r="G7" s="31" t="s">
        <v>23</v>
      </c>
    </row>
    <row r="8" spans="1:7" ht="12.75">
      <c r="A8" s="87" t="s">
        <v>707</v>
      </c>
      <c r="B8" s="87"/>
      <c r="C8" s="87"/>
      <c r="D8" s="31">
        <v>3335</v>
      </c>
      <c r="E8" s="31">
        <v>2413</v>
      </c>
      <c r="F8" s="31">
        <v>87</v>
      </c>
      <c r="G8" s="31">
        <f>SUM(D8:F8)</f>
        <v>5835</v>
      </c>
    </row>
    <row r="9" spans="1:7" ht="12.75">
      <c r="A9" s="87" t="s">
        <v>92</v>
      </c>
      <c r="B9" s="87"/>
      <c r="C9" s="87"/>
      <c r="D9" s="31">
        <v>491</v>
      </c>
      <c r="E9" s="31">
        <v>0</v>
      </c>
      <c r="F9" s="31">
        <v>0</v>
      </c>
      <c r="G9" s="31">
        <f>SUM(D9:F9)</f>
        <v>491</v>
      </c>
    </row>
    <row r="10" spans="1:7" ht="12.75">
      <c r="A10" s="87" t="s">
        <v>878</v>
      </c>
      <c r="B10" s="87"/>
      <c r="C10" s="87"/>
      <c r="D10" s="40">
        <f>D9/D8*100</f>
        <v>14.722638680659669</v>
      </c>
      <c r="E10" s="40">
        <f>E9/E8*100</f>
        <v>0</v>
      </c>
      <c r="F10" s="40">
        <v>0</v>
      </c>
      <c r="G10" s="40">
        <f>G9/G8*100</f>
        <v>8.414738646101114</v>
      </c>
    </row>
    <row r="11" spans="1:7" ht="12.75">
      <c r="A11" s="28"/>
      <c r="B11" s="28"/>
      <c r="C11" s="28"/>
      <c r="D11" s="31"/>
      <c r="E11" s="31"/>
      <c r="F11" s="31"/>
      <c r="G11" s="31"/>
    </row>
    <row r="12" spans="1:7" ht="12.75">
      <c r="A12" s="28"/>
      <c r="B12" s="28"/>
      <c r="C12" s="28"/>
      <c r="D12" s="31"/>
      <c r="E12" s="31"/>
      <c r="F12" s="31"/>
      <c r="G12" s="31"/>
    </row>
    <row r="13" spans="1:7" ht="12.75">
      <c r="A13" s="34" t="s">
        <v>820</v>
      </c>
      <c r="B13" s="28"/>
      <c r="C13" s="28"/>
      <c r="D13" s="28"/>
      <c r="E13" s="28"/>
      <c r="F13" s="28"/>
      <c r="G13" s="28"/>
    </row>
    <row r="14" spans="1:7" ht="25.5">
      <c r="A14" s="34"/>
      <c r="B14" s="30" t="s">
        <v>2</v>
      </c>
      <c r="C14" s="86" t="s">
        <v>3</v>
      </c>
      <c r="D14" s="86"/>
      <c r="E14" s="30" t="s">
        <v>4</v>
      </c>
      <c r="F14" s="28"/>
      <c r="G14" s="47" t="s">
        <v>988</v>
      </c>
    </row>
    <row r="15" spans="1:7" ht="12.75">
      <c r="A15" s="34"/>
      <c r="B15" s="60" t="s">
        <v>140</v>
      </c>
      <c r="C15" t="s">
        <v>262</v>
      </c>
      <c r="E15" s="60">
        <v>36</v>
      </c>
      <c r="G15" s="60" t="s">
        <v>105</v>
      </c>
    </row>
    <row r="16" spans="1:7" ht="12.75">
      <c r="A16" s="34"/>
      <c r="B16" s="60" t="s">
        <v>97</v>
      </c>
      <c r="C16" s="53" t="s">
        <v>821</v>
      </c>
      <c r="E16" s="60">
        <v>393</v>
      </c>
      <c r="F16" s="28"/>
      <c r="G16" s="60" t="s">
        <v>265</v>
      </c>
    </row>
    <row r="17" spans="1:7" ht="12.75">
      <c r="A17" s="34"/>
      <c r="B17" s="60" t="s">
        <v>144</v>
      </c>
      <c r="C17" s="93" t="s">
        <v>266</v>
      </c>
      <c r="D17" s="93"/>
      <c r="E17" s="60">
        <v>13</v>
      </c>
      <c r="F17" s="28"/>
      <c r="G17" s="60" t="s">
        <v>109</v>
      </c>
    </row>
    <row r="18" spans="1:7" ht="12.75">
      <c r="A18" s="34"/>
      <c r="B18" s="60" t="s">
        <v>146</v>
      </c>
      <c r="C18" t="s">
        <v>822</v>
      </c>
      <c r="E18" s="60">
        <v>12</v>
      </c>
      <c r="F18" s="28"/>
      <c r="G18" s="60" t="s">
        <v>109</v>
      </c>
    </row>
    <row r="19" spans="1:7" ht="12.75">
      <c r="A19" s="34"/>
      <c r="B19" s="60" t="s">
        <v>148</v>
      </c>
      <c r="C19" t="s">
        <v>268</v>
      </c>
      <c r="E19" s="60">
        <v>37</v>
      </c>
      <c r="F19" s="28"/>
      <c r="G19" s="60" t="s">
        <v>269</v>
      </c>
    </row>
    <row r="20" spans="1:7" s="78" customFormat="1" ht="22.5" customHeight="1">
      <c r="A20" s="77"/>
      <c r="B20" s="75"/>
      <c r="C20" s="75" t="s">
        <v>82</v>
      </c>
      <c r="D20" s="75"/>
      <c r="E20" s="75">
        <f>SUM(E15:E19)</f>
        <v>491</v>
      </c>
      <c r="G20" s="79"/>
    </row>
    <row r="21" spans="1:7" ht="12.75">
      <c r="A21" s="34"/>
      <c r="B21" s="30"/>
      <c r="C21" s="30"/>
      <c r="D21" s="30"/>
      <c r="E21" s="39"/>
      <c r="F21" s="28"/>
      <c r="G21" s="43"/>
    </row>
    <row r="22" spans="1:7" ht="12.75">
      <c r="A22" s="34" t="s">
        <v>823</v>
      </c>
      <c r="B22" s="29"/>
      <c r="C22" s="28"/>
      <c r="D22" s="28"/>
      <c r="E22" s="31"/>
      <c r="F22" s="28"/>
      <c r="G22" s="29" t="s">
        <v>134</v>
      </c>
    </row>
    <row r="23" spans="1:7" ht="12.75">
      <c r="A23" s="34"/>
      <c r="B23" s="29"/>
      <c r="C23" s="28"/>
      <c r="D23" s="28"/>
      <c r="E23" s="31"/>
      <c r="G23" s="28"/>
    </row>
    <row r="24" spans="1:7" ht="18" customHeight="1">
      <c r="A24" s="34" t="s">
        <v>741</v>
      </c>
      <c r="B24" s="29"/>
      <c r="C24" s="28"/>
      <c r="D24" s="28"/>
      <c r="E24" s="31"/>
      <c r="F24" s="28"/>
      <c r="G24" s="28"/>
    </row>
    <row r="25" spans="1:7" ht="30.75" customHeight="1">
      <c r="A25" s="96" t="s">
        <v>1044</v>
      </c>
      <c r="B25" s="96"/>
      <c r="C25" s="96"/>
      <c r="D25" s="96"/>
      <c r="E25" s="96"/>
      <c r="F25" s="96"/>
      <c r="G25" s="96"/>
    </row>
    <row r="26" spans="1:7" ht="15" customHeight="1">
      <c r="A26" s="56"/>
      <c r="B26" s="54"/>
      <c r="C26" s="54"/>
      <c r="D26" s="54"/>
      <c r="E26" s="54"/>
      <c r="F26" s="54"/>
      <c r="G26" s="54"/>
    </row>
    <row r="27" spans="1:7" ht="12.75">
      <c r="A27" s="7" t="s">
        <v>951</v>
      </c>
      <c r="B27" s="29"/>
      <c r="C27" s="28"/>
      <c r="D27" s="28"/>
      <c r="E27" s="31"/>
      <c r="F27" s="28"/>
      <c r="G27" s="28"/>
    </row>
    <row r="28" spans="1:7" ht="12.75">
      <c r="A28" s="28"/>
      <c r="B28" s="35" t="s">
        <v>12</v>
      </c>
      <c r="C28" s="38" t="s">
        <v>90</v>
      </c>
      <c r="D28" s="28"/>
      <c r="E28" s="28"/>
      <c r="F28" s="28"/>
      <c r="G28" s="28"/>
    </row>
    <row r="29" spans="1:7" ht="12.75">
      <c r="A29" s="28"/>
      <c r="B29" s="28" t="s">
        <v>901</v>
      </c>
      <c r="C29" s="29" t="s">
        <v>728</v>
      </c>
      <c r="D29" s="31"/>
      <c r="E29" s="28"/>
      <c r="F29" s="28"/>
      <c r="G29" s="28"/>
    </row>
    <row r="30" spans="2:4" ht="12.75">
      <c r="B30" t="s">
        <v>957</v>
      </c>
      <c r="C30" s="29" t="s">
        <v>728</v>
      </c>
      <c r="D30" s="31"/>
    </row>
    <row r="31" spans="2:3" ht="12.75">
      <c r="B31" t="s">
        <v>985</v>
      </c>
      <c r="C31" s="29" t="s">
        <v>728</v>
      </c>
    </row>
    <row r="32" spans="2:3" ht="12.75">
      <c r="B32" t="s">
        <v>1019</v>
      </c>
      <c r="C32" s="29" t="s">
        <v>728</v>
      </c>
    </row>
  </sheetData>
  <mergeCells count="10">
    <mergeCell ref="C17:D17"/>
    <mergeCell ref="A25:G25"/>
    <mergeCell ref="A8:C8"/>
    <mergeCell ref="A9:C9"/>
    <mergeCell ref="A10:C10"/>
    <mergeCell ref="C14:D14"/>
    <mergeCell ref="F1:G1"/>
    <mergeCell ref="A3:G3"/>
    <mergeCell ref="D4:E4"/>
    <mergeCell ref="A6:G6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2">
      <selection activeCell="F38" sqref="F38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2.57421875" style="0" customWidth="1"/>
    <col min="4" max="4" width="14.7109375" style="0" customWidth="1"/>
    <col min="6" max="6" width="12.00390625" style="0" customWidth="1"/>
    <col min="7" max="7" width="19.140625" style="0" customWidth="1"/>
  </cols>
  <sheetData>
    <row r="1" spans="1:7" ht="12.75">
      <c r="A1" s="28"/>
      <c r="B1" s="28"/>
      <c r="C1" s="28"/>
      <c r="D1" s="28"/>
      <c r="E1" s="28"/>
      <c r="F1" s="85" t="s">
        <v>0</v>
      </c>
      <c r="G1" s="85"/>
    </row>
    <row r="2" spans="1:7" ht="18.75" customHeight="1">
      <c r="A2" s="28"/>
      <c r="B2" s="28"/>
      <c r="C2" s="28"/>
      <c r="D2" s="28"/>
      <c r="E2" s="28"/>
      <c r="F2" s="29"/>
      <c r="G2" s="31" t="str">
        <f>RAJASTHAN!G2</f>
        <v>31.3.2005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12.75">
      <c r="A4" s="30"/>
      <c r="B4" s="30"/>
      <c r="C4" s="30"/>
      <c r="D4" s="86" t="s">
        <v>824</v>
      </c>
      <c r="E4" s="86"/>
      <c r="F4" s="30"/>
      <c r="G4" s="30"/>
    </row>
    <row r="5" spans="1:7" ht="11.25" customHeight="1">
      <c r="A5" s="30"/>
      <c r="B5" s="30"/>
      <c r="C5" s="30"/>
      <c r="D5" s="30"/>
      <c r="E5" s="30"/>
      <c r="F5" s="30"/>
      <c r="G5" s="30"/>
    </row>
    <row r="6" spans="1:7" ht="12.75">
      <c r="A6" s="88" t="s">
        <v>875</v>
      </c>
      <c r="B6" s="88"/>
      <c r="C6" s="88"/>
      <c r="D6" s="88"/>
      <c r="E6" s="88"/>
      <c r="F6" s="88"/>
      <c r="G6" s="92"/>
    </row>
    <row r="7" spans="1:7" ht="12.75">
      <c r="A7" s="31"/>
      <c r="B7" s="31"/>
      <c r="C7" s="31"/>
      <c r="D7" s="29" t="s">
        <v>20</v>
      </c>
      <c r="E7" s="29" t="s">
        <v>21</v>
      </c>
      <c r="F7" s="29" t="s">
        <v>22</v>
      </c>
      <c r="G7" s="29" t="s">
        <v>23</v>
      </c>
    </row>
    <row r="8" spans="1:7" ht="12.75">
      <c r="A8" s="87" t="s">
        <v>707</v>
      </c>
      <c r="B8" s="87"/>
      <c r="C8" s="87"/>
      <c r="D8" s="29">
        <v>2246</v>
      </c>
      <c r="E8" s="29">
        <v>1955</v>
      </c>
      <c r="F8" s="29">
        <v>0</v>
      </c>
      <c r="G8" s="29">
        <f>SUM(D8:F8)</f>
        <v>4201</v>
      </c>
    </row>
    <row r="9" spans="1:7" ht="12.75">
      <c r="A9" s="87" t="s">
        <v>92</v>
      </c>
      <c r="B9" s="87"/>
      <c r="C9" s="87"/>
      <c r="D9" s="29">
        <v>858</v>
      </c>
      <c r="E9" s="29">
        <v>168</v>
      </c>
      <c r="F9" s="29">
        <v>0</v>
      </c>
      <c r="G9" s="29">
        <v>1026</v>
      </c>
    </row>
    <row r="10" spans="1:7" ht="12.75">
      <c r="A10" s="87" t="s">
        <v>878</v>
      </c>
      <c r="B10" s="87"/>
      <c r="C10" s="87"/>
      <c r="D10" s="61">
        <f>D9/D8*100</f>
        <v>38.201246660730185</v>
      </c>
      <c r="E10" s="61">
        <f>E9/E8*100</f>
        <v>8.593350383631714</v>
      </c>
      <c r="F10" s="61">
        <v>0</v>
      </c>
      <c r="G10" s="61">
        <f>G9/G8*100</f>
        <v>24.42275648655082</v>
      </c>
    </row>
    <row r="11" spans="1:7" ht="8.25" customHeight="1">
      <c r="A11" s="28"/>
      <c r="B11" s="28"/>
      <c r="C11" s="28"/>
      <c r="D11" s="31"/>
      <c r="E11" s="31"/>
      <c r="F11" s="31"/>
      <c r="G11" s="31"/>
    </row>
    <row r="12" spans="1:7" ht="12.75">
      <c r="A12" s="34" t="s">
        <v>825</v>
      </c>
      <c r="B12" s="28"/>
      <c r="C12" s="28"/>
      <c r="D12" s="28"/>
      <c r="E12" s="28"/>
      <c r="F12" s="28"/>
      <c r="G12" s="28"/>
    </row>
    <row r="13" spans="1:7" ht="14.25" customHeight="1">
      <c r="A13" s="34"/>
      <c r="B13" s="30" t="s">
        <v>2</v>
      </c>
      <c r="C13" s="86" t="s">
        <v>3</v>
      </c>
      <c r="D13" s="86"/>
      <c r="E13" s="44" t="s">
        <v>4</v>
      </c>
      <c r="F13" s="28"/>
      <c r="G13" s="47" t="s">
        <v>988</v>
      </c>
    </row>
    <row r="14" spans="1:7" ht="12.75">
      <c r="A14" s="34"/>
      <c r="B14" s="29" t="s">
        <v>140</v>
      </c>
      <c r="C14" t="s">
        <v>826</v>
      </c>
      <c r="E14">
        <v>29</v>
      </c>
      <c r="F14" s="28"/>
      <c r="G14" s="60" t="s">
        <v>827</v>
      </c>
    </row>
    <row r="15" spans="1:7" ht="12.75">
      <c r="A15" s="34"/>
      <c r="B15" s="29" t="s">
        <v>97</v>
      </c>
      <c r="C15" s="83" t="s">
        <v>284</v>
      </c>
      <c r="D15" s="83"/>
      <c r="E15">
        <v>134</v>
      </c>
      <c r="F15" s="28"/>
      <c r="G15" s="60" t="s">
        <v>210</v>
      </c>
    </row>
    <row r="16" spans="1:7" ht="12.75">
      <c r="A16" s="34"/>
      <c r="B16" s="29" t="s">
        <v>144</v>
      </c>
      <c r="C16" t="s">
        <v>828</v>
      </c>
      <c r="E16">
        <v>52</v>
      </c>
      <c r="F16" s="28"/>
      <c r="G16" s="60" t="s">
        <v>286</v>
      </c>
    </row>
    <row r="17" spans="1:7" ht="17.25" customHeight="1">
      <c r="A17" s="34"/>
      <c r="B17" s="29" t="s">
        <v>146</v>
      </c>
      <c r="C17" s="98" t="s">
        <v>829</v>
      </c>
      <c r="D17" s="93"/>
      <c r="E17" s="28">
        <v>375</v>
      </c>
      <c r="F17" s="28"/>
      <c r="G17" s="29" t="s">
        <v>288</v>
      </c>
    </row>
    <row r="18" spans="1:7" ht="12.75">
      <c r="A18" s="34"/>
      <c r="B18" s="29" t="s">
        <v>148</v>
      </c>
      <c r="C18" t="s">
        <v>289</v>
      </c>
      <c r="E18">
        <v>24</v>
      </c>
      <c r="F18" s="28"/>
      <c r="G18" s="60" t="s">
        <v>205</v>
      </c>
    </row>
    <row r="19" spans="1:7" ht="16.5" customHeight="1">
      <c r="A19" s="34"/>
      <c r="B19" s="29" t="s">
        <v>150</v>
      </c>
      <c r="C19" s="98" t="s">
        <v>290</v>
      </c>
      <c r="D19" s="93"/>
      <c r="E19" s="28">
        <v>20</v>
      </c>
      <c r="F19" s="28"/>
      <c r="G19" s="29" t="s">
        <v>29</v>
      </c>
    </row>
    <row r="20" spans="1:7" ht="12.75">
      <c r="A20" s="34"/>
      <c r="B20" s="29" t="s">
        <v>162</v>
      </c>
      <c r="C20" t="s">
        <v>291</v>
      </c>
      <c r="E20">
        <v>68</v>
      </c>
      <c r="F20" s="28"/>
      <c r="G20" s="60" t="s">
        <v>37</v>
      </c>
    </row>
    <row r="21" spans="1:7" ht="12.75">
      <c r="A21" s="34"/>
      <c r="B21" s="29" t="s">
        <v>163</v>
      </c>
      <c r="C21" t="s">
        <v>292</v>
      </c>
      <c r="E21">
        <v>130</v>
      </c>
      <c r="F21" s="28"/>
      <c r="G21" s="60" t="s">
        <v>50</v>
      </c>
    </row>
    <row r="22" spans="1:7" ht="12.75">
      <c r="A22" s="34"/>
      <c r="B22" s="69" t="s">
        <v>165</v>
      </c>
      <c r="C22" t="s">
        <v>293</v>
      </c>
      <c r="E22">
        <v>4</v>
      </c>
      <c r="F22" s="28"/>
      <c r="G22" s="60" t="s">
        <v>65</v>
      </c>
    </row>
    <row r="23" spans="1:7" ht="12.75">
      <c r="A23" s="34"/>
      <c r="B23" s="29" t="s">
        <v>787</v>
      </c>
      <c r="C23" t="s">
        <v>830</v>
      </c>
      <c r="E23">
        <v>30</v>
      </c>
      <c r="F23" s="28"/>
      <c r="G23" s="60" t="s">
        <v>551</v>
      </c>
    </row>
    <row r="24" spans="1:7" ht="12.75">
      <c r="A24" s="34"/>
      <c r="B24" s="29" t="s">
        <v>788</v>
      </c>
      <c r="C24" t="s">
        <v>923</v>
      </c>
      <c r="E24">
        <v>35</v>
      </c>
      <c r="F24" s="28"/>
      <c r="G24" s="66" t="s">
        <v>552</v>
      </c>
    </row>
    <row r="25" spans="1:7" ht="12.75">
      <c r="A25" s="34"/>
      <c r="B25" s="29" t="s">
        <v>789</v>
      </c>
      <c r="C25" t="s">
        <v>924</v>
      </c>
      <c r="E25">
        <v>66</v>
      </c>
      <c r="F25" s="28"/>
      <c r="G25" s="66" t="s">
        <v>552</v>
      </c>
    </row>
    <row r="26" spans="1:7" ht="12.75">
      <c r="A26" s="34"/>
      <c r="B26" s="29" t="s">
        <v>790</v>
      </c>
      <c r="C26" t="s">
        <v>969</v>
      </c>
      <c r="E26">
        <v>37</v>
      </c>
      <c r="F26" s="28"/>
      <c r="G26" s="68" t="s">
        <v>901</v>
      </c>
    </row>
    <row r="27" spans="1:7" ht="12.75">
      <c r="A27" s="34"/>
      <c r="B27" s="29" t="s">
        <v>791</v>
      </c>
      <c r="C27" t="s">
        <v>970</v>
      </c>
      <c r="E27">
        <v>1</v>
      </c>
      <c r="F27" s="28"/>
      <c r="G27" s="68" t="s">
        <v>901</v>
      </c>
    </row>
    <row r="28" spans="1:7" ht="12.75">
      <c r="A28" s="34"/>
      <c r="B28" s="29" t="s">
        <v>792</v>
      </c>
      <c r="C28" t="s">
        <v>999</v>
      </c>
      <c r="E28">
        <v>21</v>
      </c>
      <c r="F28" s="28"/>
      <c r="G28" s="68" t="s">
        <v>957</v>
      </c>
    </row>
    <row r="29" spans="1:7" ht="18.75" customHeight="1">
      <c r="A29" s="28"/>
      <c r="B29" s="28"/>
      <c r="C29" s="80" t="s">
        <v>23</v>
      </c>
      <c r="D29" s="80"/>
      <c r="E29" s="81">
        <f>SUM(E14:E28)</f>
        <v>1026</v>
      </c>
      <c r="F29" s="28"/>
      <c r="G29" s="28"/>
    </row>
    <row r="30" spans="1:7" ht="12" customHeight="1">
      <c r="A30" s="28"/>
      <c r="B30" s="28"/>
      <c r="C30" s="34"/>
      <c r="D30" s="34"/>
      <c r="E30" s="44"/>
      <c r="F30" s="28"/>
      <c r="G30" s="28"/>
    </row>
    <row r="31" spans="1:7" ht="12.75">
      <c r="A31" s="34" t="s">
        <v>831</v>
      </c>
      <c r="B31" s="28"/>
      <c r="C31" s="28"/>
      <c r="D31" s="28"/>
      <c r="E31" s="28"/>
      <c r="F31" s="28"/>
      <c r="G31" s="28"/>
    </row>
    <row r="32" spans="1:7" ht="36">
      <c r="A32" s="43" t="s">
        <v>704</v>
      </c>
      <c r="B32" s="36"/>
      <c r="C32" s="47" t="s">
        <v>832</v>
      </c>
      <c r="D32" s="47" t="s">
        <v>1045</v>
      </c>
      <c r="E32" s="47" t="s">
        <v>10</v>
      </c>
      <c r="F32" s="64" t="s">
        <v>716</v>
      </c>
      <c r="G32" s="47" t="s">
        <v>11</v>
      </c>
    </row>
    <row r="33" spans="1:7" ht="42" customHeight="1">
      <c r="A33" s="82" t="s">
        <v>1065</v>
      </c>
      <c r="B33" s="82"/>
      <c r="C33" s="47">
        <v>197</v>
      </c>
      <c r="D33" s="47">
        <v>190</v>
      </c>
      <c r="E33" s="47">
        <f>C33-D33</f>
        <v>7</v>
      </c>
      <c r="F33" s="64">
        <v>41.36</v>
      </c>
      <c r="G33" s="76" t="s">
        <v>1000</v>
      </c>
    </row>
    <row r="34" spans="1:7" ht="26.25" customHeight="1">
      <c r="A34" s="99" t="s">
        <v>1066</v>
      </c>
      <c r="B34" s="99"/>
      <c r="C34" s="47">
        <v>38</v>
      </c>
      <c r="D34" s="47">
        <v>0</v>
      </c>
      <c r="E34" s="47">
        <v>38</v>
      </c>
      <c r="F34" s="64">
        <v>8.6</v>
      </c>
      <c r="G34" s="57">
        <v>38687</v>
      </c>
    </row>
    <row r="35" spans="1:7" ht="24" customHeight="1">
      <c r="A35" s="99" t="s">
        <v>1067</v>
      </c>
      <c r="B35" s="99"/>
      <c r="C35" s="47">
        <v>7</v>
      </c>
      <c r="D35" s="47">
        <v>0</v>
      </c>
      <c r="E35" s="47">
        <v>7</v>
      </c>
      <c r="F35" s="64"/>
      <c r="G35" s="57">
        <v>38777</v>
      </c>
    </row>
    <row r="36" spans="1:7" ht="27" customHeight="1">
      <c r="A36" s="82" t="s">
        <v>1046</v>
      </c>
      <c r="B36" s="82"/>
      <c r="C36" s="82"/>
      <c r="D36" s="82"/>
      <c r="E36" s="82"/>
      <c r="F36" s="82"/>
      <c r="G36" s="82"/>
    </row>
    <row r="37" spans="1:7" ht="14.25" customHeight="1">
      <c r="A37" s="46"/>
      <c r="B37" s="46"/>
      <c r="C37" s="46"/>
      <c r="D37" s="46"/>
      <c r="E37" s="46"/>
      <c r="F37" s="46"/>
      <c r="G37" s="46"/>
    </row>
    <row r="38" spans="1:7" ht="12.75">
      <c r="A38" s="34" t="s">
        <v>921</v>
      </c>
      <c r="B38" s="34"/>
      <c r="C38" s="34"/>
      <c r="D38" s="34"/>
      <c r="E38" s="34"/>
      <c r="F38" s="34"/>
      <c r="G38" s="42"/>
    </row>
    <row r="39" spans="1:7" ht="14.25" customHeight="1">
      <c r="A39" s="92" t="s">
        <v>1047</v>
      </c>
      <c r="B39" s="92"/>
      <c r="C39" s="92"/>
      <c r="D39" s="92"/>
      <c r="E39" s="92"/>
      <c r="F39" s="92"/>
      <c r="G39" s="92"/>
    </row>
    <row r="40" spans="1:7" ht="12" customHeight="1">
      <c r="A40" s="28"/>
      <c r="B40" s="28"/>
      <c r="C40" s="28"/>
      <c r="D40" s="28"/>
      <c r="E40" s="34"/>
      <c r="F40" s="34"/>
      <c r="G40" s="42"/>
    </row>
    <row r="41" spans="1:7" ht="12.75">
      <c r="A41" s="34" t="s">
        <v>946</v>
      </c>
      <c r="B41" s="34"/>
      <c r="C41" s="34"/>
      <c r="D41" s="34"/>
      <c r="E41" s="34"/>
      <c r="F41" s="34"/>
      <c r="G41" s="34"/>
    </row>
    <row r="42" spans="1:7" ht="12.75">
      <c r="A42" s="28"/>
      <c r="B42" s="35" t="s">
        <v>12</v>
      </c>
      <c r="C42" s="38" t="s">
        <v>90</v>
      </c>
      <c r="D42" s="28"/>
      <c r="E42" s="28"/>
      <c r="F42" s="28"/>
      <c r="G42" s="28"/>
    </row>
    <row r="43" spans="1:7" ht="12.75">
      <c r="A43" s="28"/>
      <c r="B43" s="28" t="s">
        <v>901</v>
      </c>
      <c r="C43" s="29">
        <v>11</v>
      </c>
      <c r="D43" s="31"/>
      <c r="E43" s="28"/>
      <c r="F43" s="28"/>
      <c r="G43" s="28"/>
    </row>
    <row r="44" spans="2:4" ht="12.75">
      <c r="B44" s="28" t="s">
        <v>957</v>
      </c>
      <c r="C44" s="60">
        <v>9</v>
      </c>
      <c r="D44" s="31"/>
    </row>
    <row r="45" spans="2:3" ht="12.75">
      <c r="B45" t="s">
        <v>985</v>
      </c>
      <c r="C45" s="60">
        <v>3</v>
      </c>
    </row>
    <row r="46" spans="2:3" ht="12.75">
      <c r="B46" t="s">
        <v>1019</v>
      </c>
      <c r="C46" s="60">
        <v>1</v>
      </c>
    </row>
  </sheetData>
  <mergeCells count="16">
    <mergeCell ref="A9:C9"/>
    <mergeCell ref="A10:C10"/>
    <mergeCell ref="C13:D13"/>
    <mergeCell ref="F1:G1"/>
    <mergeCell ref="A3:G3"/>
    <mergeCell ref="D4:E4"/>
    <mergeCell ref="A39:G39"/>
    <mergeCell ref="A36:G36"/>
    <mergeCell ref="A6:G6"/>
    <mergeCell ref="C17:D17"/>
    <mergeCell ref="C19:D19"/>
    <mergeCell ref="C15:D15"/>
    <mergeCell ref="A33:B33"/>
    <mergeCell ref="A8:C8"/>
    <mergeCell ref="A34:B34"/>
    <mergeCell ref="A35:B35"/>
  </mergeCells>
  <printOptions/>
  <pageMargins left="0.75" right="0.75" top="1" bottom="0.5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4">
      <selection activeCell="B43" sqref="B43"/>
    </sheetView>
  </sheetViews>
  <sheetFormatPr defaultColWidth="9.140625" defaultRowHeight="12.75"/>
  <cols>
    <col min="1" max="1" width="11.140625" style="28" customWidth="1"/>
    <col min="2" max="2" width="9.140625" style="28" customWidth="1"/>
    <col min="3" max="3" width="11.8515625" style="28" customWidth="1"/>
    <col min="4" max="4" width="13.140625" style="28" customWidth="1"/>
    <col min="5" max="5" width="10.28125" style="28" customWidth="1"/>
    <col min="6" max="6" width="13.28125" style="28" customWidth="1"/>
    <col min="7" max="7" width="15.851562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5.75" customHeight="1">
      <c r="F2" s="29"/>
      <c r="G2" s="31" t="str">
        <f>TAMILNADU!G2</f>
        <v>31.3.2005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20.25" customHeight="1">
      <c r="A4" s="30"/>
      <c r="B4" s="30"/>
      <c r="C4" s="30"/>
      <c r="D4" s="86" t="s">
        <v>833</v>
      </c>
      <c r="E4" s="86"/>
      <c r="F4" s="30"/>
      <c r="G4" s="30"/>
    </row>
    <row r="5" spans="1:7" ht="18" customHeight="1">
      <c r="A5" s="88" t="s">
        <v>718</v>
      </c>
      <c r="B5" s="88"/>
      <c r="C5" s="88"/>
      <c r="D5" s="88"/>
      <c r="E5" s="88"/>
      <c r="F5" s="88"/>
      <c r="G5" s="92"/>
    </row>
    <row r="6" spans="1:7" ht="18" customHeight="1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5.75" customHeight="1">
      <c r="A7" s="87" t="s">
        <v>707</v>
      </c>
      <c r="B7" s="87"/>
      <c r="C7" s="87"/>
      <c r="D7" s="31">
        <v>6797</v>
      </c>
      <c r="E7" s="31">
        <v>1767</v>
      </c>
      <c r="F7" s="31">
        <v>2</v>
      </c>
      <c r="G7" s="31">
        <f>SUM(D7:F7)</f>
        <v>8566</v>
      </c>
    </row>
    <row r="8" spans="1:7" ht="17.25" customHeight="1">
      <c r="A8" s="87" t="s">
        <v>92</v>
      </c>
      <c r="B8" s="87"/>
      <c r="C8" s="87"/>
      <c r="D8" s="31">
        <v>1448</v>
      </c>
      <c r="E8" s="31">
        <v>0</v>
      </c>
      <c r="F8" s="31">
        <v>0</v>
      </c>
      <c r="G8" s="31">
        <f>SUM(D8:F8)</f>
        <v>1448</v>
      </c>
    </row>
    <row r="9" spans="1:7" ht="14.25" customHeight="1">
      <c r="A9" s="87" t="s">
        <v>878</v>
      </c>
      <c r="B9" s="87"/>
      <c r="C9" s="87"/>
      <c r="D9" s="40">
        <f>D8/D7*100</f>
        <v>21.30351625717228</v>
      </c>
      <c r="E9" s="40">
        <f>E8/E7*100</f>
        <v>0</v>
      </c>
      <c r="F9" s="40">
        <v>0</v>
      </c>
      <c r="G9" s="40">
        <f>G8/G7*100</f>
        <v>16.9040392248424</v>
      </c>
    </row>
    <row r="10" spans="4:7" ht="12" customHeight="1">
      <c r="D10" s="31"/>
      <c r="E10" s="31"/>
      <c r="F10" s="31"/>
      <c r="G10" s="31"/>
    </row>
    <row r="11" ht="20.25" customHeight="1">
      <c r="A11" s="34" t="s">
        <v>834</v>
      </c>
    </row>
    <row r="12" spans="1:7" ht="24.75" customHeight="1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1:7" ht="21.75" customHeight="1">
      <c r="A13" s="34"/>
      <c r="B13" s="29" t="s">
        <v>140</v>
      </c>
      <c r="C13" s="28" t="s">
        <v>310</v>
      </c>
      <c r="E13" s="28">
        <v>819</v>
      </c>
      <c r="G13" s="28" t="s">
        <v>311</v>
      </c>
    </row>
    <row r="14" spans="1:7" ht="21" customHeight="1">
      <c r="A14" s="34"/>
      <c r="B14" s="29" t="s">
        <v>97</v>
      </c>
      <c r="C14" s="83" t="s">
        <v>312</v>
      </c>
      <c r="D14" s="83"/>
      <c r="E14" s="28">
        <v>132</v>
      </c>
      <c r="G14" s="28" t="s">
        <v>29</v>
      </c>
    </row>
    <row r="15" spans="1:7" ht="18.75" customHeight="1">
      <c r="A15" s="34"/>
      <c r="B15" s="29" t="s">
        <v>144</v>
      </c>
      <c r="C15" s="97" t="s">
        <v>835</v>
      </c>
      <c r="D15" s="92"/>
      <c r="E15" s="28">
        <v>20</v>
      </c>
      <c r="G15" s="28" t="s">
        <v>105</v>
      </c>
    </row>
    <row r="16" spans="1:7" ht="17.25" customHeight="1">
      <c r="A16" s="34"/>
      <c r="B16" s="29" t="s">
        <v>146</v>
      </c>
      <c r="C16" s="28" t="s">
        <v>314</v>
      </c>
      <c r="E16" s="28">
        <v>65</v>
      </c>
      <c r="G16" s="28" t="s">
        <v>315</v>
      </c>
    </row>
    <row r="17" spans="1:7" ht="20.25" customHeight="1">
      <c r="A17" s="34"/>
      <c r="B17" s="29" t="s">
        <v>148</v>
      </c>
      <c r="C17" s="28" t="s">
        <v>839</v>
      </c>
      <c r="E17" s="28">
        <v>72</v>
      </c>
      <c r="G17" s="28" t="s">
        <v>109</v>
      </c>
    </row>
    <row r="18" spans="1:7" ht="20.25" customHeight="1">
      <c r="A18" s="34"/>
      <c r="B18" s="29" t="s">
        <v>150</v>
      </c>
      <c r="C18" s="28" t="s">
        <v>317</v>
      </c>
      <c r="E18" s="28">
        <v>77</v>
      </c>
      <c r="G18" s="28" t="s">
        <v>206</v>
      </c>
    </row>
    <row r="19" spans="1:7" ht="21" customHeight="1">
      <c r="A19" s="34"/>
      <c r="B19" s="29" t="s">
        <v>162</v>
      </c>
      <c r="C19" s="28" t="s">
        <v>319</v>
      </c>
      <c r="E19" s="28">
        <v>11</v>
      </c>
      <c r="G19" s="28" t="s">
        <v>65</v>
      </c>
    </row>
    <row r="20" spans="1:7" ht="20.25" customHeight="1">
      <c r="A20" s="34"/>
      <c r="B20" s="29" t="s">
        <v>163</v>
      </c>
      <c r="C20" s="28" t="s">
        <v>836</v>
      </c>
      <c r="E20" s="28">
        <v>2</v>
      </c>
      <c r="G20" s="28" t="s">
        <v>69</v>
      </c>
    </row>
    <row r="21" spans="1:7" ht="20.25" customHeight="1">
      <c r="A21" s="34"/>
      <c r="B21" s="29" t="s">
        <v>165</v>
      </c>
      <c r="C21" s="28" t="s">
        <v>321</v>
      </c>
      <c r="E21" s="28">
        <v>14</v>
      </c>
      <c r="G21" s="28" t="s">
        <v>69</v>
      </c>
    </row>
    <row r="22" spans="1:7" ht="21" customHeight="1">
      <c r="A22" s="34"/>
      <c r="B22" s="29" t="s">
        <v>787</v>
      </c>
      <c r="C22" s="97" t="s">
        <v>322</v>
      </c>
      <c r="D22" s="92"/>
      <c r="E22" s="28">
        <v>7</v>
      </c>
      <c r="G22" s="28" t="s">
        <v>69</v>
      </c>
    </row>
    <row r="23" spans="1:7" ht="20.25" customHeight="1">
      <c r="A23" s="34"/>
      <c r="B23" s="29" t="s">
        <v>837</v>
      </c>
      <c r="C23" s="97" t="s">
        <v>323</v>
      </c>
      <c r="D23" s="92"/>
      <c r="E23" s="28">
        <v>49</v>
      </c>
      <c r="G23" s="28" t="s">
        <v>550</v>
      </c>
    </row>
    <row r="24" spans="1:7" ht="19.5" customHeight="1">
      <c r="A24" s="34"/>
      <c r="B24" s="29" t="s">
        <v>789</v>
      </c>
      <c r="C24" s="97" t="s">
        <v>324</v>
      </c>
      <c r="D24" s="92"/>
      <c r="E24" s="28">
        <v>8</v>
      </c>
      <c r="G24" s="28" t="s">
        <v>550</v>
      </c>
    </row>
    <row r="25" spans="1:7" ht="21" customHeight="1">
      <c r="A25" s="34"/>
      <c r="B25" s="29" t="s">
        <v>790</v>
      </c>
      <c r="C25" s="28" t="s">
        <v>325</v>
      </c>
      <c r="E25" s="28">
        <v>4</v>
      </c>
      <c r="G25" s="28" t="s">
        <v>550</v>
      </c>
    </row>
    <row r="26" spans="1:7" ht="20.25" customHeight="1">
      <c r="A26" s="34"/>
      <c r="B26" s="29" t="s">
        <v>791</v>
      </c>
      <c r="C26" s="28" t="s">
        <v>326</v>
      </c>
      <c r="E26" s="28">
        <v>56</v>
      </c>
      <c r="G26" s="28" t="s">
        <v>550</v>
      </c>
    </row>
    <row r="27" spans="1:7" ht="20.25" customHeight="1">
      <c r="A27" s="34"/>
      <c r="B27" s="29" t="s">
        <v>792</v>
      </c>
      <c r="C27" s="28" t="s">
        <v>925</v>
      </c>
      <c r="E27" s="28">
        <v>23</v>
      </c>
      <c r="G27" s="67" t="s">
        <v>552</v>
      </c>
    </row>
    <row r="28" spans="1:7" ht="21.75" customHeight="1">
      <c r="A28" s="34"/>
      <c r="B28" s="29" t="s">
        <v>793</v>
      </c>
      <c r="C28" s="28" t="s">
        <v>926</v>
      </c>
      <c r="E28" s="28">
        <v>35</v>
      </c>
      <c r="G28" s="67" t="s">
        <v>552</v>
      </c>
    </row>
    <row r="29" spans="1:7" ht="21" customHeight="1">
      <c r="A29" s="34"/>
      <c r="B29" s="29" t="s">
        <v>794</v>
      </c>
      <c r="C29" s="73" t="s">
        <v>974</v>
      </c>
      <c r="E29" s="28">
        <v>18</v>
      </c>
      <c r="G29" s="28" t="s">
        <v>901</v>
      </c>
    </row>
    <row r="30" spans="1:7" ht="21" customHeight="1">
      <c r="A30" s="34"/>
      <c r="B30" s="29" t="s">
        <v>795</v>
      </c>
      <c r="C30" s="28" t="s">
        <v>1008</v>
      </c>
      <c r="E30" s="28">
        <v>18</v>
      </c>
      <c r="G30" s="28" t="s">
        <v>957</v>
      </c>
    </row>
    <row r="31" spans="1:7" ht="20.25" customHeight="1">
      <c r="A31" s="34"/>
      <c r="B31" s="29" t="s">
        <v>796</v>
      </c>
      <c r="C31" s="28" t="s">
        <v>1009</v>
      </c>
      <c r="E31" s="28">
        <v>4</v>
      </c>
      <c r="G31" s="28" t="s">
        <v>957</v>
      </c>
    </row>
    <row r="32" spans="1:7" ht="21" customHeight="1">
      <c r="A32" s="34"/>
      <c r="B32" s="29" t="s">
        <v>797</v>
      </c>
      <c r="C32" s="28" t="s">
        <v>1001</v>
      </c>
      <c r="E32" s="28">
        <v>2</v>
      </c>
      <c r="G32" s="28" t="s">
        <v>957</v>
      </c>
    </row>
    <row r="33" spans="1:7" ht="26.25" customHeight="1">
      <c r="A33" s="34"/>
      <c r="B33" s="29" t="s">
        <v>798</v>
      </c>
      <c r="C33" s="99" t="s">
        <v>1031</v>
      </c>
      <c r="D33" s="99"/>
      <c r="E33" s="28">
        <v>12</v>
      </c>
      <c r="G33" s="28" t="s">
        <v>985</v>
      </c>
    </row>
    <row r="34" spans="3:5" ht="36.75" customHeight="1">
      <c r="C34" s="34" t="s">
        <v>23</v>
      </c>
      <c r="D34" s="34"/>
      <c r="E34" s="44">
        <f>SUM(E13:E33)</f>
        <v>1448</v>
      </c>
    </row>
    <row r="35" ht="19.5" customHeight="1">
      <c r="A35" s="34" t="s">
        <v>838</v>
      </c>
    </row>
    <row r="36" spans="1:7" ht="38.25">
      <c r="A36" s="43" t="s">
        <v>704</v>
      </c>
      <c r="B36" s="36"/>
      <c r="C36" s="47" t="s">
        <v>840</v>
      </c>
      <c r="D36" s="47" t="s">
        <v>78</v>
      </c>
      <c r="E36" s="47" t="s">
        <v>10</v>
      </c>
      <c r="F36" s="64" t="s">
        <v>882</v>
      </c>
      <c r="G36" s="47" t="s">
        <v>11</v>
      </c>
    </row>
    <row r="37" spans="1:7" ht="60.75" customHeight="1">
      <c r="A37" s="97" t="s">
        <v>1014</v>
      </c>
      <c r="B37" s="97"/>
      <c r="C37" s="58">
        <v>159</v>
      </c>
      <c r="D37" s="58">
        <v>53</v>
      </c>
      <c r="E37" s="58">
        <f>C37-D37</f>
        <v>106</v>
      </c>
      <c r="F37" s="58">
        <v>129.82</v>
      </c>
      <c r="G37" s="57">
        <v>38688</v>
      </c>
    </row>
    <row r="38" spans="1:7" ht="30.75" customHeight="1">
      <c r="A38" s="99" t="s">
        <v>1049</v>
      </c>
      <c r="B38" s="99"/>
      <c r="C38" s="58">
        <v>207</v>
      </c>
      <c r="D38" s="58">
        <v>0</v>
      </c>
      <c r="E38" s="58">
        <f>C38-D38</f>
        <v>207</v>
      </c>
      <c r="F38" s="58">
        <v>89.21</v>
      </c>
      <c r="G38" s="57" t="s">
        <v>339</v>
      </c>
    </row>
    <row r="39" spans="1:7" ht="60" customHeight="1">
      <c r="A39" s="82" t="s">
        <v>1048</v>
      </c>
      <c r="B39" s="82"/>
      <c r="C39" s="58">
        <v>68</v>
      </c>
      <c r="D39" s="58">
        <v>0</v>
      </c>
      <c r="E39" s="58">
        <f>C39-D39</f>
        <v>68</v>
      </c>
      <c r="F39" s="58">
        <v>49.96</v>
      </c>
      <c r="G39" s="57" t="s">
        <v>975</v>
      </c>
    </row>
    <row r="40" spans="1:7" ht="41.25" customHeight="1">
      <c r="A40" s="99" t="s">
        <v>1050</v>
      </c>
      <c r="B40" s="99"/>
      <c r="C40" s="58">
        <v>338</v>
      </c>
      <c r="D40" s="58">
        <v>0</v>
      </c>
      <c r="E40" s="58">
        <v>338</v>
      </c>
      <c r="F40" s="58">
        <v>209.2</v>
      </c>
      <c r="G40" s="57">
        <v>39508</v>
      </c>
    </row>
    <row r="41" spans="1:7" ht="33" customHeight="1">
      <c r="A41" s="46"/>
      <c r="B41" s="47" t="s">
        <v>23</v>
      </c>
      <c r="C41" s="47">
        <f>SUM(C37:C40)</f>
        <v>772</v>
      </c>
      <c r="D41" s="47">
        <f>SUM(D37:D40)</f>
        <v>53</v>
      </c>
      <c r="E41" s="47">
        <f>SUM(E37:E40)</f>
        <v>719</v>
      </c>
      <c r="F41" s="64">
        <f>SUM(F37:F40)</f>
        <v>478.18999999999994</v>
      </c>
      <c r="G41" s="52"/>
    </row>
    <row r="42" spans="1:7" ht="42.75" customHeight="1">
      <c r="A42" s="82" t="s">
        <v>1051</v>
      </c>
      <c r="B42" s="82"/>
      <c r="C42" s="82"/>
      <c r="D42" s="82"/>
      <c r="E42" s="82"/>
      <c r="F42" s="82"/>
      <c r="G42" s="82"/>
    </row>
    <row r="43" spans="1:7" ht="22.5" customHeight="1">
      <c r="A43" s="34" t="s">
        <v>921</v>
      </c>
      <c r="B43" s="34"/>
      <c r="C43" s="34"/>
      <c r="D43" s="34"/>
      <c r="E43" s="34"/>
      <c r="F43" s="34"/>
      <c r="G43" s="42"/>
    </row>
    <row r="44" spans="1:7" ht="19.5" customHeight="1">
      <c r="A44" s="28" t="s">
        <v>880</v>
      </c>
      <c r="E44" s="34"/>
      <c r="F44" s="34"/>
      <c r="G44" s="42"/>
    </row>
    <row r="45" spans="1:7" ht="21" customHeight="1">
      <c r="A45" s="32" t="s">
        <v>841</v>
      </c>
      <c r="B45" s="28" t="s">
        <v>897</v>
      </c>
      <c r="E45" s="34"/>
      <c r="F45" s="34"/>
      <c r="G45" s="42"/>
    </row>
    <row r="46" spans="1:7" ht="27.75" customHeight="1">
      <c r="A46" s="32" t="s">
        <v>83</v>
      </c>
      <c r="B46" s="99" t="s">
        <v>1052</v>
      </c>
      <c r="C46" s="99"/>
      <c r="D46" s="99"/>
      <c r="E46" s="99"/>
      <c r="F46" s="99"/>
      <c r="G46" s="99"/>
    </row>
    <row r="47" spans="1:7" ht="19.5" customHeight="1">
      <c r="A47" s="32" t="s">
        <v>86</v>
      </c>
      <c r="B47" s="28" t="s">
        <v>1010</v>
      </c>
      <c r="E47" s="34"/>
      <c r="F47" s="34"/>
      <c r="G47" s="42"/>
    </row>
    <row r="48" spans="1:7" ht="21.75" customHeight="1">
      <c r="A48" s="32" t="s">
        <v>881</v>
      </c>
      <c r="B48" s="28" t="s">
        <v>1011</v>
      </c>
      <c r="E48" s="34"/>
      <c r="F48" s="34"/>
      <c r="G48" s="42"/>
    </row>
    <row r="49" spans="1:7" ht="22.5" customHeight="1">
      <c r="A49" s="34" t="s">
        <v>946</v>
      </c>
      <c r="B49" s="34"/>
      <c r="C49" s="34"/>
      <c r="D49" s="34"/>
      <c r="E49" s="34"/>
      <c r="F49" s="34"/>
      <c r="G49" s="34"/>
    </row>
    <row r="50" spans="2:3" ht="19.5" customHeight="1">
      <c r="B50" s="35" t="s">
        <v>12</v>
      </c>
      <c r="C50" s="63" t="s">
        <v>90</v>
      </c>
    </row>
    <row r="51" spans="2:3" ht="16.5" customHeight="1">
      <c r="B51" s="28" t="s">
        <v>901</v>
      </c>
      <c r="C51" s="29">
        <v>45</v>
      </c>
    </row>
    <row r="52" spans="2:4" ht="18" customHeight="1">
      <c r="B52" s="28" t="s">
        <v>957</v>
      </c>
      <c r="C52" s="29">
        <v>35</v>
      </c>
      <c r="D52" s="31"/>
    </row>
    <row r="53" spans="2:3" ht="16.5" customHeight="1">
      <c r="B53" s="28" t="s">
        <v>985</v>
      </c>
      <c r="C53" s="29">
        <v>48</v>
      </c>
    </row>
    <row r="54" spans="2:3" ht="15" customHeight="1">
      <c r="B54" s="28" t="s">
        <v>1019</v>
      </c>
      <c r="C54" s="29">
        <v>19</v>
      </c>
    </row>
  </sheetData>
  <mergeCells count="20">
    <mergeCell ref="F1:G1"/>
    <mergeCell ref="A3:G3"/>
    <mergeCell ref="D4:E4"/>
    <mergeCell ref="A42:G42"/>
    <mergeCell ref="A38:B38"/>
    <mergeCell ref="A7:C7"/>
    <mergeCell ref="A8:C8"/>
    <mergeCell ref="A9:C9"/>
    <mergeCell ref="C12:D12"/>
    <mergeCell ref="A39:B39"/>
    <mergeCell ref="B46:G46"/>
    <mergeCell ref="A40:B40"/>
    <mergeCell ref="C14:D14"/>
    <mergeCell ref="A5:G5"/>
    <mergeCell ref="A37:B37"/>
    <mergeCell ref="C15:D15"/>
    <mergeCell ref="C22:D22"/>
    <mergeCell ref="C23:D23"/>
    <mergeCell ref="C24:D24"/>
    <mergeCell ref="C33:D33"/>
  </mergeCells>
  <printOptions/>
  <pageMargins left="0.75" right="0.75" top="0.86" bottom="0.8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8" sqref="E8"/>
    </sheetView>
  </sheetViews>
  <sheetFormatPr defaultColWidth="9.140625" defaultRowHeight="12.75"/>
  <cols>
    <col min="1" max="1" width="11.140625" style="28" customWidth="1"/>
    <col min="2" max="2" width="9.140625" style="28" customWidth="1"/>
    <col min="3" max="3" width="11.8515625" style="28" customWidth="1"/>
    <col min="4" max="4" width="13.140625" style="28" customWidth="1"/>
    <col min="5" max="5" width="10.28125" style="28" customWidth="1"/>
    <col min="6" max="6" width="13.28125" style="28" customWidth="1"/>
    <col min="7" max="7" width="15.851562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tr">
        <f>TAMILNADU!G2</f>
        <v>31.3.2005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22.5" customHeight="1">
      <c r="A4" s="30"/>
      <c r="B4" s="30"/>
      <c r="C4" s="30"/>
      <c r="D4" s="86" t="s">
        <v>1053</v>
      </c>
      <c r="E4" s="86"/>
      <c r="F4" s="30"/>
      <c r="G4" s="30"/>
    </row>
    <row r="5" spans="1:7" ht="24.75" customHeight="1">
      <c r="A5" s="88" t="s">
        <v>718</v>
      </c>
      <c r="B5" s="88"/>
      <c r="C5" s="88"/>
      <c r="D5" s="88"/>
      <c r="E5" s="88"/>
      <c r="F5" s="88"/>
      <c r="G5" s="92"/>
    </row>
    <row r="6" spans="1:7" ht="24.75" customHeight="1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24.75" customHeight="1">
      <c r="A7" s="87" t="s">
        <v>707</v>
      </c>
      <c r="B7" s="87"/>
      <c r="C7" s="87"/>
      <c r="D7" s="31">
        <v>284</v>
      </c>
      <c r="E7" s="31">
        <v>61</v>
      </c>
      <c r="F7" s="31">
        <v>0</v>
      </c>
      <c r="G7" s="31">
        <f>SUM(D7:F7)</f>
        <v>345</v>
      </c>
    </row>
    <row r="8" spans="1:7" ht="24.75" customHeight="1">
      <c r="A8" s="87" t="s">
        <v>92</v>
      </c>
      <c r="B8" s="87"/>
      <c r="C8" s="87"/>
      <c r="D8" s="31">
        <v>42</v>
      </c>
      <c r="E8" s="31">
        <v>0</v>
      </c>
      <c r="F8" s="31">
        <v>0</v>
      </c>
      <c r="G8" s="31">
        <f>SUM(D8:F8)</f>
        <v>42</v>
      </c>
    </row>
    <row r="9" spans="1:7" ht="24.75" customHeight="1">
      <c r="A9" s="87" t="s">
        <v>878</v>
      </c>
      <c r="B9" s="87"/>
      <c r="C9" s="87"/>
      <c r="D9" s="40">
        <f>D8/D7*100</f>
        <v>14.788732394366196</v>
      </c>
      <c r="E9" s="40">
        <f>E8/E7*100</f>
        <v>0</v>
      </c>
      <c r="F9" s="40">
        <v>0</v>
      </c>
      <c r="G9" s="40">
        <f>G8/G7*100</f>
        <v>12.173913043478262</v>
      </c>
    </row>
    <row r="10" spans="4:7" ht="12" customHeight="1">
      <c r="D10" s="31"/>
      <c r="E10" s="31"/>
      <c r="F10" s="31"/>
      <c r="G10" s="31"/>
    </row>
    <row r="11" ht="21.75" customHeight="1">
      <c r="A11" s="34" t="s">
        <v>1002</v>
      </c>
    </row>
    <row r="12" spans="1:7" ht="27.75" customHeight="1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1:7" ht="24.75" customHeight="1">
      <c r="A13" s="34"/>
      <c r="B13" s="29" t="s">
        <v>140</v>
      </c>
      <c r="C13" s="28" t="s">
        <v>1012</v>
      </c>
      <c r="E13" s="28">
        <v>13</v>
      </c>
      <c r="G13" s="28" t="s">
        <v>957</v>
      </c>
    </row>
    <row r="14" spans="1:7" ht="24.75" customHeight="1">
      <c r="A14" s="34"/>
      <c r="B14" s="29" t="s">
        <v>97</v>
      </c>
      <c r="C14" s="99" t="s">
        <v>1032</v>
      </c>
      <c r="D14" s="99"/>
      <c r="E14" s="28">
        <v>14</v>
      </c>
      <c r="G14" s="28" t="s">
        <v>985</v>
      </c>
    </row>
    <row r="15" spans="1:7" ht="24.75" customHeight="1">
      <c r="A15" s="34"/>
      <c r="B15" s="29" t="s">
        <v>144</v>
      </c>
      <c r="C15" s="99" t="s">
        <v>1033</v>
      </c>
      <c r="D15" s="99"/>
      <c r="E15" s="28">
        <v>15</v>
      </c>
      <c r="G15" s="28" t="s">
        <v>985</v>
      </c>
    </row>
    <row r="16" spans="3:5" ht="21" customHeight="1">
      <c r="C16" s="34" t="s">
        <v>23</v>
      </c>
      <c r="D16" s="34"/>
      <c r="E16" s="44">
        <v>42</v>
      </c>
    </row>
    <row r="17" ht="19.5" customHeight="1">
      <c r="A17" s="34" t="s">
        <v>1003</v>
      </c>
    </row>
    <row r="18" spans="1:7" ht="36">
      <c r="A18" s="43" t="s">
        <v>704</v>
      </c>
      <c r="B18" s="36"/>
      <c r="C18" s="47" t="s">
        <v>1013</v>
      </c>
      <c r="D18" s="47" t="s">
        <v>78</v>
      </c>
      <c r="E18" s="47" t="s">
        <v>10</v>
      </c>
      <c r="F18" s="64" t="s">
        <v>882</v>
      </c>
      <c r="G18" s="47" t="s">
        <v>11</v>
      </c>
    </row>
    <row r="19" spans="1:7" ht="48" customHeight="1">
      <c r="A19" s="97" t="s">
        <v>1015</v>
      </c>
      <c r="B19" s="97"/>
      <c r="C19" s="58">
        <v>47</v>
      </c>
      <c r="D19" s="58">
        <v>42</v>
      </c>
      <c r="E19" s="58">
        <f>C19-D19</f>
        <v>5</v>
      </c>
      <c r="F19" s="58">
        <v>38.38</v>
      </c>
      <c r="G19" s="57">
        <v>38688</v>
      </c>
    </row>
    <row r="20" spans="1:7" ht="30" customHeight="1">
      <c r="A20" s="82" t="s">
        <v>1034</v>
      </c>
      <c r="B20" s="82"/>
      <c r="C20" s="82"/>
      <c r="D20" s="82"/>
      <c r="E20" s="82"/>
      <c r="F20" s="82"/>
      <c r="G20" s="82"/>
    </row>
    <row r="21" spans="1:7" ht="30" customHeight="1">
      <c r="A21" s="34" t="s">
        <v>921</v>
      </c>
      <c r="B21" s="34"/>
      <c r="C21" s="34"/>
      <c r="D21" s="34"/>
      <c r="E21" s="42" t="s">
        <v>728</v>
      </c>
      <c r="F21" s="34"/>
      <c r="G21" s="42"/>
    </row>
    <row r="22" spans="1:7" ht="22.5" customHeight="1">
      <c r="A22" s="34" t="s">
        <v>946</v>
      </c>
      <c r="B22" s="34"/>
      <c r="C22" s="34"/>
      <c r="D22" s="34"/>
      <c r="E22" s="34"/>
      <c r="F22" s="34"/>
      <c r="G22" s="34"/>
    </row>
    <row r="23" spans="2:3" ht="19.5" customHeight="1">
      <c r="B23" s="35" t="s">
        <v>12</v>
      </c>
      <c r="C23" s="63" t="s">
        <v>90</v>
      </c>
    </row>
    <row r="24" spans="2:3" ht="16.5" customHeight="1">
      <c r="B24" s="28" t="s">
        <v>901</v>
      </c>
      <c r="C24" s="29" t="s">
        <v>728</v>
      </c>
    </row>
    <row r="25" spans="2:4" ht="18" customHeight="1">
      <c r="B25" s="28" t="s">
        <v>957</v>
      </c>
      <c r="C25" s="29">
        <v>5</v>
      </c>
      <c r="D25" s="31"/>
    </row>
    <row r="26" spans="2:3" ht="17.25" customHeight="1">
      <c r="B26" s="28" t="s">
        <v>985</v>
      </c>
      <c r="C26" s="29">
        <v>5</v>
      </c>
    </row>
    <row r="27" spans="2:3" ht="16.5" customHeight="1">
      <c r="B27" s="28" t="s">
        <v>1019</v>
      </c>
      <c r="C27" s="29">
        <v>1</v>
      </c>
    </row>
  </sheetData>
  <mergeCells count="12">
    <mergeCell ref="F1:G1"/>
    <mergeCell ref="A3:G3"/>
    <mergeCell ref="D4:E4"/>
    <mergeCell ref="A5:G5"/>
    <mergeCell ref="A20:G20"/>
    <mergeCell ref="A19:B19"/>
    <mergeCell ref="A7:C7"/>
    <mergeCell ref="A8:C8"/>
    <mergeCell ref="A9:C9"/>
    <mergeCell ref="C12:D12"/>
    <mergeCell ref="C14:D14"/>
    <mergeCell ref="C15:D15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5">
      <selection activeCell="E46" sqref="E46"/>
    </sheetView>
  </sheetViews>
  <sheetFormatPr defaultColWidth="9.140625" defaultRowHeight="12.75"/>
  <cols>
    <col min="1" max="1" width="10.57421875" style="28" customWidth="1"/>
    <col min="2" max="2" width="10.140625" style="28" customWidth="1"/>
    <col min="3" max="3" width="11.421875" style="28" customWidth="1"/>
    <col min="4" max="4" width="15.421875" style="28" customWidth="1"/>
    <col min="5" max="5" width="9.140625" style="28" customWidth="1"/>
    <col min="6" max="6" width="12.140625" style="28" customWidth="1"/>
    <col min="7" max="7" width="17.14062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tr">
        <f>Uttaranchal!G2</f>
        <v>31.3.2005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19.5" customHeight="1">
      <c r="A4" s="30"/>
      <c r="B4" s="30"/>
      <c r="C4" s="30"/>
      <c r="D4" s="86" t="s">
        <v>842</v>
      </c>
      <c r="E4" s="86"/>
      <c r="F4" s="30"/>
      <c r="G4" s="30"/>
    </row>
    <row r="5" spans="1:7" ht="18" customHeight="1">
      <c r="A5" s="88" t="s">
        <v>718</v>
      </c>
      <c r="B5" s="88"/>
      <c r="C5" s="88"/>
      <c r="D5" s="88"/>
      <c r="E5" s="88"/>
      <c r="F5" s="88"/>
      <c r="G5" s="92"/>
    </row>
    <row r="6" spans="1:7" ht="19.5" customHeight="1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9.5" customHeight="1">
      <c r="A7" s="87" t="s">
        <v>707</v>
      </c>
      <c r="B7" s="87"/>
      <c r="C7" s="87"/>
      <c r="D7" s="31">
        <v>3182</v>
      </c>
      <c r="E7" s="31">
        <v>304</v>
      </c>
      <c r="F7" s="31">
        <v>220</v>
      </c>
      <c r="G7" s="31">
        <f>SUM(D7:F7)</f>
        <v>3706</v>
      </c>
    </row>
    <row r="8" spans="1:7" ht="19.5" customHeight="1">
      <c r="A8" s="87" t="s">
        <v>92</v>
      </c>
      <c r="B8" s="87"/>
      <c r="C8" s="87"/>
      <c r="D8" s="31">
        <v>1744</v>
      </c>
      <c r="E8" s="31">
        <v>0</v>
      </c>
      <c r="F8" s="31">
        <v>0</v>
      </c>
      <c r="G8" s="31">
        <f>SUM(D8:F8)</f>
        <v>1744</v>
      </c>
    </row>
    <row r="9" spans="1:7" ht="19.5" customHeight="1">
      <c r="A9" s="87" t="s">
        <v>878</v>
      </c>
      <c r="B9" s="87"/>
      <c r="C9" s="87"/>
      <c r="D9" s="40">
        <f>D8/D7*100</f>
        <v>54.80829666876178</v>
      </c>
      <c r="E9" s="40">
        <f>E8/E7*100</f>
        <v>0</v>
      </c>
      <c r="F9" s="40">
        <f>F8/F7*100</f>
        <v>0</v>
      </c>
      <c r="G9" s="40">
        <f>G8/G7*100</f>
        <v>47.05882352941176</v>
      </c>
    </row>
    <row r="10" spans="4:7" ht="12.75">
      <c r="D10" s="31"/>
      <c r="E10" s="31"/>
      <c r="F10" s="31"/>
      <c r="G10" s="31"/>
    </row>
    <row r="11" ht="19.5" customHeight="1">
      <c r="A11" s="34" t="s">
        <v>843</v>
      </c>
    </row>
    <row r="12" spans="1:7" ht="25.5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1:7" ht="38.25">
      <c r="A13" s="34"/>
      <c r="B13" s="29" t="s">
        <v>140</v>
      </c>
      <c r="C13" s="97" t="s">
        <v>1056</v>
      </c>
      <c r="D13" s="92"/>
      <c r="E13" s="28">
        <v>142</v>
      </c>
      <c r="G13" s="49" t="s">
        <v>879</v>
      </c>
    </row>
    <row r="14" spans="1:7" ht="15" customHeight="1">
      <c r="A14" s="34"/>
      <c r="B14" s="29" t="s">
        <v>97</v>
      </c>
      <c r="C14" s="82" t="s">
        <v>358</v>
      </c>
      <c r="D14" s="82"/>
      <c r="E14" s="28">
        <v>130</v>
      </c>
      <c r="G14" s="28" t="s">
        <v>844</v>
      </c>
    </row>
    <row r="15" spans="1:7" ht="15" customHeight="1">
      <c r="A15" s="34"/>
      <c r="B15" s="29" t="s">
        <v>144</v>
      </c>
      <c r="C15" s="97" t="s">
        <v>845</v>
      </c>
      <c r="D15" s="97"/>
      <c r="E15" s="28">
        <v>115</v>
      </c>
      <c r="G15" s="28" t="s">
        <v>99</v>
      </c>
    </row>
    <row r="16" spans="1:7" ht="15" customHeight="1">
      <c r="A16" s="34"/>
      <c r="B16" s="29" t="s">
        <v>146</v>
      </c>
      <c r="C16" s="28" t="s">
        <v>846</v>
      </c>
      <c r="E16" s="28">
        <v>13</v>
      </c>
      <c r="G16" s="28" t="s">
        <v>99</v>
      </c>
    </row>
    <row r="17" spans="1:7" ht="15" customHeight="1">
      <c r="A17" s="34"/>
      <c r="B17" s="29" t="s">
        <v>148</v>
      </c>
      <c r="C17" s="97" t="s">
        <v>362</v>
      </c>
      <c r="D17" s="92"/>
      <c r="E17" s="28">
        <v>179</v>
      </c>
      <c r="G17" s="28" t="s">
        <v>363</v>
      </c>
    </row>
    <row r="18" spans="1:7" ht="15" customHeight="1">
      <c r="A18" s="34"/>
      <c r="B18" s="29" t="s">
        <v>150</v>
      </c>
      <c r="C18" s="97" t="s">
        <v>847</v>
      </c>
      <c r="D18" s="92"/>
      <c r="E18" s="28">
        <v>94</v>
      </c>
      <c r="G18" s="28" t="s">
        <v>365</v>
      </c>
    </row>
    <row r="19" spans="1:7" ht="15" customHeight="1">
      <c r="A19" s="34"/>
      <c r="B19" s="29" t="s">
        <v>162</v>
      </c>
      <c r="C19" s="97" t="s">
        <v>848</v>
      </c>
      <c r="D19" s="97"/>
      <c r="E19" s="28">
        <v>69</v>
      </c>
      <c r="G19" s="28" t="s">
        <v>365</v>
      </c>
    </row>
    <row r="20" spans="1:7" ht="32.25" customHeight="1">
      <c r="A20" s="34"/>
      <c r="B20" s="29" t="s">
        <v>163</v>
      </c>
      <c r="C20" s="97" t="s">
        <v>1057</v>
      </c>
      <c r="D20" s="92"/>
      <c r="E20" s="28">
        <v>26</v>
      </c>
      <c r="G20" s="28" t="s">
        <v>365</v>
      </c>
    </row>
    <row r="21" spans="1:7" ht="30.75" customHeight="1">
      <c r="A21" s="34"/>
      <c r="B21" s="29" t="s">
        <v>165</v>
      </c>
      <c r="C21" s="97" t="s">
        <v>1058</v>
      </c>
      <c r="D21" s="92"/>
      <c r="E21" s="28">
        <v>73</v>
      </c>
      <c r="G21" s="28" t="s">
        <v>210</v>
      </c>
    </row>
    <row r="22" spans="1:7" ht="54.75" customHeight="1">
      <c r="A22" s="34"/>
      <c r="B22" s="29" t="s">
        <v>787</v>
      </c>
      <c r="C22" s="97" t="s">
        <v>1059</v>
      </c>
      <c r="D22" s="97"/>
      <c r="E22" s="28">
        <v>96</v>
      </c>
      <c r="G22" s="28" t="s">
        <v>101</v>
      </c>
    </row>
    <row r="23" spans="1:7" ht="27.75" customHeight="1">
      <c r="A23" s="34"/>
      <c r="B23" s="29" t="s">
        <v>837</v>
      </c>
      <c r="C23" s="97" t="s">
        <v>1060</v>
      </c>
      <c r="D23" s="97"/>
      <c r="E23" s="28">
        <v>41</v>
      </c>
      <c r="G23" s="28" t="s">
        <v>101</v>
      </c>
    </row>
    <row r="24" spans="1:7" ht="29.25" customHeight="1">
      <c r="A24" s="34"/>
      <c r="B24" s="29" t="s">
        <v>789</v>
      </c>
      <c r="C24" s="97" t="s">
        <v>1054</v>
      </c>
      <c r="D24" s="97"/>
      <c r="E24" s="28">
        <v>108</v>
      </c>
      <c r="G24" s="28" t="s">
        <v>103</v>
      </c>
    </row>
    <row r="25" spans="1:7" ht="15" customHeight="1">
      <c r="A25" s="34"/>
      <c r="B25" s="29" t="s">
        <v>790</v>
      </c>
      <c r="C25" s="28" t="s">
        <v>849</v>
      </c>
      <c r="E25" s="28">
        <v>7</v>
      </c>
      <c r="G25" s="28" t="s">
        <v>379</v>
      </c>
    </row>
    <row r="26" spans="1:7" ht="15" customHeight="1">
      <c r="A26" s="34"/>
      <c r="B26" s="29" t="s">
        <v>791</v>
      </c>
      <c r="C26" s="28" t="s">
        <v>850</v>
      </c>
      <c r="E26" s="28">
        <v>25</v>
      </c>
      <c r="G26" s="28" t="s">
        <v>381</v>
      </c>
    </row>
    <row r="27" spans="1:7" ht="15" customHeight="1">
      <c r="A27" s="34"/>
      <c r="B27" s="29" t="s">
        <v>792</v>
      </c>
      <c r="C27" s="28" t="s">
        <v>851</v>
      </c>
      <c r="E27" s="28">
        <v>69</v>
      </c>
      <c r="G27" s="28" t="s">
        <v>852</v>
      </c>
    </row>
    <row r="28" spans="1:7" ht="15" customHeight="1">
      <c r="A28" s="34"/>
      <c r="B28" s="29" t="s">
        <v>793</v>
      </c>
      <c r="C28" s="28" t="s">
        <v>1061</v>
      </c>
      <c r="E28" s="28">
        <v>5</v>
      </c>
      <c r="G28" s="28" t="s">
        <v>286</v>
      </c>
    </row>
    <row r="29" spans="1:7" ht="15" customHeight="1">
      <c r="A29" s="34"/>
      <c r="B29" s="29" t="s">
        <v>794</v>
      </c>
      <c r="C29" s="28" t="s">
        <v>385</v>
      </c>
      <c r="E29" s="28">
        <v>15</v>
      </c>
      <c r="G29" s="28" t="s">
        <v>853</v>
      </c>
    </row>
    <row r="30" spans="1:7" ht="27" customHeight="1">
      <c r="A30" s="34"/>
      <c r="B30" s="29" t="s">
        <v>795</v>
      </c>
      <c r="C30" s="97" t="s">
        <v>1055</v>
      </c>
      <c r="D30" s="92"/>
      <c r="E30" s="28">
        <v>36</v>
      </c>
      <c r="G30" s="28" t="s">
        <v>31</v>
      </c>
    </row>
    <row r="31" spans="1:7" ht="15" customHeight="1">
      <c r="A31" s="34"/>
      <c r="B31" s="29" t="s">
        <v>1016</v>
      </c>
      <c r="C31" s="28" t="s">
        <v>389</v>
      </c>
      <c r="E31" s="28">
        <v>52</v>
      </c>
      <c r="G31" s="28" t="s">
        <v>45</v>
      </c>
    </row>
    <row r="32" spans="1:7" ht="15" customHeight="1">
      <c r="A32" s="34"/>
      <c r="B32" s="29" t="s">
        <v>797</v>
      </c>
      <c r="C32" s="28" t="s">
        <v>390</v>
      </c>
      <c r="E32" s="28">
        <v>4</v>
      </c>
      <c r="G32" s="28" t="s">
        <v>45</v>
      </c>
    </row>
    <row r="33" spans="1:7" ht="15" customHeight="1">
      <c r="A33" s="34"/>
      <c r="B33" s="29" t="s">
        <v>798</v>
      </c>
      <c r="C33" s="28" t="s">
        <v>854</v>
      </c>
      <c r="E33" s="28">
        <v>18</v>
      </c>
      <c r="G33" s="28" t="s">
        <v>45</v>
      </c>
    </row>
    <row r="34" spans="1:7" ht="15" customHeight="1">
      <c r="A34" s="34"/>
      <c r="B34" s="29" t="s">
        <v>172</v>
      </c>
      <c r="C34" s="28" t="s">
        <v>855</v>
      </c>
      <c r="E34" s="28">
        <v>53</v>
      </c>
      <c r="G34" s="28" t="s">
        <v>50</v>
      </c>
    </row>
    <row r="35" spans="1:7" ht="15" customHeight="1">
      <c r="A35" s="34"/>
      <c r="B35" s="29" t="s">
        <v>799</v>
      </c>
      <c r="C35" s="28" t="s">
        <v>1062</v>
      </c>
      <c r="E35" s="28">
        <v>8</v>
      </c>
      <c r="G35" s="28" t="s">
        <v>50</v>
      </c>
    </row>
    <row r="36" spans="1:7" ht="15" customHeight="1">
      <c r="A36" s="34"/>
      <c r="B36" s="29" t="s">
        <v>856</v>
      </c>
      <c r="C36" s="28" t="s">
        <v>858</v>
      </c>
      <c r="E36" s="28">
        <v>24</v>
      </c>
      <c r="G36" s="28" t="s">
        <v>65</v>
      </c>
    </row>
    <row r="37" spans="1:7" ht="15" customHeight="1">
      <c r="A37" s="34"/>
      <c r="B37" s="29" t="s">
        <v>857</v>
      </c>
      <c r="C37" s="28" t="s">
        <v>859</v>
      </c>
      <c r="E37" s="28">
        <v>60</v>
      </c>
      <c r="G37" s="28" t="s">
        <v>65</v>
      </c>
    </row>
    <row r="38" spans="1:7" ht="15" customHeight="1">
      <c r="A38" s="34"/>
      <c r="B38" s="29" t="s">
        <v>860</v>
      </c>
      <c r="C38" s="28" t="s">
        <v>396</v>
      </c>
      <c r="E38" s="28">
        <v>9</v>
      </c>
      <c r="G38" s="28" t="s">
        <v>65</v>
      </c>
    </row>
    <row r="39" spans="1:7" ht="15" customHeight="1">
      <c r="A39" s="34"/>
      <c r="B39" s="29" t="s">
        <v>861</v>
      </c>
      <c r="C39" s="28" t="s">
        <v>862</v>
      </c>
      <c r="E39" s="28">
        <v>36</v>
      </c>
      <c r="G39" s="28" t="s">
        <v>69</v>
      </c>
    </row>
    <row r="40" spans="1:7" ht="15" customHeight="1">
      <c r="A40" s="34"/>
      <c r="B40" s="29" t="s">
        <v>863</v>
      </c>
      <c r="C40" s="28" t="s">
        <v>398</v>
      </c>
      <c r="E40" s="28">
        <v>36</v>
      </c>
      <c r="G40" s="28" t="s">
        <v>69</v>
      </c>
    </row>
    <row r="41" spans="1:7" ht="15" customHeight="1">
      <c r="A41" s="34"/>
      <c r="B41" s="29" t="s">
        <v>864</v>
      </c>
      <c r="C41" s="28" t="s">
        <v>865</v>
      </c>
      <c r="E41" s="28">
        <v>65</v>
      </c>
      <c r="G41" s="28" t="s">
        <v>69</v>
      </c>
    </row>
    <row r="42" spans="1:7" ht="15" customHeight="1">
      <c r="A42" s="34"/>
      <c r="B42" s="29" t="s">
        <v>866</v>
      </c>
      <c r="C42" s="28" t="s">
        <v>870</v>
      </c>
      <c r="E42" s="28">
        <v>24</v>
      </c>
      <c r="G42" s="28" t="s">
        <v>69</v>
      </c>
    </row>
    <row r="43" spans="1:7" ht="15" customHeight="1">
      <c r="A43" s="34"/>
      <c r="B43" s="29" t="s">
        <v>867</v>
      </c>
      <c r="C43" s="28" t="s">
        <v>868</v>
      </c>
      <c r="E43" s="28">
        <v>30</v>
      </c>
      <c r="G43" s="28" t="s">
        <v>550</v>
      </c>
    </row>
    <row r="44" spans="1:7" ht="15" customHeight="1">
      <c r="A44" s="34"/>
      <c r="B44" s="29" t="s">
        <v>869</v>
      </c>
      <c r="C44" s="28" t="s">
        <v>871</v>
      </c>
      <c r="E44" s="28">
        <v>30</v>
      </c>
      <c r="G44" s="28" t="s">
        <v>551</v>
      </c>
    </row>
    <row r="45" spans="1:7" ht="15" customHeight="1">
      <c r="A45" s="34"/>
      <c r="B45" s="29" t="s">
        <v>971</v>
      </c>
      <c r="C45" s="28" t="s">
        <v>972</v>
      </c>
      <c r="E45" s="28">
        <v>52</v>
      </c>
      <c r="G45" s="28" t="s">
        <v>901</v>
      </c>
    </row>
    <row r="46" spans="3:6" ht="38.25" customHeight="1">
      <c r="C46" s="77" t="s">
        <v>23</v>
      </c>
      <c r="D46" s="77"/>
      <c r="E46" s="59">
        <f>SUM(E13:E45)</f>
        <v>1744</v>
      </c>
      <c r="F46" s="78"/>
    </row>
    <row r="47" ht="18.75" customHeight="1">
      <c r="A47" s="34" t="s">
        <v>872</v>
      </c>
    </row>
    <row r="48" spans="1:7" ht="38.25">
      <c r="A48" s="43" t="s">
        <v>704</v>
      </c>
      <c r="B48" s="36"/>
      <c r="C48" s="47" t="s">
        <v>889</v>
      </c>
      <c r="D48" s="47" t="s">
        <v>78</v>
      </c>
      <c r="E48" s="47" t="s">
        <v>10</v>
      </c>
      <c r="F48" s="64" t="s">
        <v>882</v>
      </c>
      <c r="G48" s="47" t="s">
        <v>11</v>
      </c>
    </row>
    <row r="49" spans="1:7" ht="24" customHeight="1">
      <c r="A49" s="82" t="s">
        <v>973</v>
      </c>
      <c r="B49" s="82"/>
      <c r="C49" s="58">
        <v>128</v>
      </c>
      <c r="D49" s="58">
        <v>0</v>
      </c>
      <c r="E49" s="58">
        <v>128</v>
      </c>
      <c r="F49" s="65">
        <v>63.83</v>
      </c>
      <c r="G49" s="57">
        <v>38870</v>
      </c>
    </row>
    <row r="50" spans="1:7" ht="37.5" customHeight="1">
      <c r="A50" s="82" t="s">
        <v>1035</v>
      </c>
      <c r="B50" s="82"/>
      <c r="C50" s="82"/>
      <c r="D50" s="82"/>
      <c r="E50" s="82"/>
      <c r="F50" s="82"/>
      <c r="G50" s="82"/>
    </row>
    <row r="51" spans="1:7" ht="21.75" customHeight="1">
      <c r="A51" s="34" t="s">
        <v>741</v>
      </c>
      <c r="B51" s="34"/>
      <c r="C51" s="34"/>
      <c r="D51" s="34"/>
      <c r="E51" s="34"/>
      <c r="F51" s="34"/>
      <c r="G51" s="42"/>
    </row>
    <row r="52" spans="1:7" ht="19.5" customHeight="1">
      <c r="A52" s="28" t="s">
        <v>898</v>
      </c>
      <c r="E52" s="34"/>
      <c r="F52" s="34"/>
      <c r="G52" s="42"/>
    </row>
    <row r="53" spans="1:7" ht="19.5" customHeight="1">
      <c r="A53" s="28" t="s">
        <v>841</v>
      </c>
      <c r="B53" s="28" t="s">
        <v>899</v>
      </c>
      <c r="E53" s="34"/>
      <c r="F53" s="34"/>
      <c r="G53" s="42"/>
    </row>
    <row r="54" spans="5:7" ht="19.5" customHeight="1">
      <c r="E54" s="34"/>
      <c r="F54" s="34"/>
      <c r="G54" s="42"/>
    </row>
    <row r="55" spans="1:7" ht="21" customHeight="1">
      <c r="A55" s="34" t="s">
        <v>946</v>
      </c>
      <c r="B55" s="34"/>
      <c r="C55" s="34"/>
      <c r="D55" s="34"/>
      <c r="E55" s="34"/>
      <c r="F55" s="34"/>
      <c r="G55" s="34"/>
    </row>
    <row r="56" spans="2:3" ht="19.5" customHeight="1">
      <c r="B56" s="35" t="s">
        <v>12</v>
      </c>
      <c r="C56" s="63" t="s">
        <v>90</v>
      </c>
    </row>
    <row r="57" spans="2:4" ht="19.5" customHeight="1">
      <c r="B57" s="28" t="s">
        <v>901</v>
      </c>
      <c r="C57" s="29">
        <v>12</v>
      </c>
      <c r="D57" s="31"/>
    </row>
    <row r="58" spans="2:4" ht="18" customHeight="1">
      <c r="B58" s="28" t="s">
        <v>957</v>
      </c>
      <c r="C58" s="29">
        <v>20</v>
      </c>
      <c r="D58" s="31"/>
    </row>
    <row r="59" spans="2:3" ht="17.25" customHeight="1">
      <c r="B59" s="28" t="s">
        <v>985</v>
      </c>
      <c r="C59" s="29">
        <v>17</v>
      </c>
    </row>
    <row r="60" spans="2:3" ht="16.5" customHeight="1">
      <c r="B60" s="28" t="s">
        <v>1019</v>
      </c>
      <c r="C60" s="29">
        <v>20</v>
      </c>
    </row>
  </sheetData>
  <mergeCells count="22">
    <mergeCell ref="F1:G1"/>
    <mergeCell ref="A3:G3"/>
    <mergeCell ref="D4:E4"/>
    <mergeCell ref="A5:G5"/>
    <mergeCell ref="A7:C7"/>
    <mergeCell ref="A8:C8"/>
    <mergeCell ref="A9:C9"/>
    <mergeCell ref="C12:D12"/>
    <mergeCell ref="C30:D30"/>
    <mergeCell ref="C22:D22"/>
    <mergeCell ref="C23:D23"/>
    <mergeCell ref="C21:D21"/>
    <mergeCell ref="A50:G50"/>
    <mergeCell ref="C13:D13"/>
    <mergeCell ref="C14:D14"/>
    <mergeCell ref="C15:D15"/>
    <mergeCell ref="C17:D17"/>
    <mergeCell ref="C18:D18"/>
    <mergeCell ref="C19:D19"/>
    <mergeCell ref="C20:D20"/>
    <mergeCell ref="C24:D24"/>
    <mergeCell ref="A49:B4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G12" sqref="G12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5.00390625" style="28" customWidth="1"/>
    <col min="7" max="7" width="15.574218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29" t="str">
        <f>Andhra!G2</f>
        <v>31.3.2005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15.75" customHeight="1">
      <c r="A4" s="30"/>
      <c r="B4" s="30"/>
      <c r="C4" s="30"/>
      <c r="D4" s="86" t="s">
        <v>720</v>
      </c>
      <c r="E4" s="86"/>
      <c r="F4" s="30"/>
      <c r="G4" s="30"/>
    </row>
    <row r="5" spans="1:6" ht="12.75">
      <c r="A5" s="88" t="s">
        <v>718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2142</v>
      </c>
      <c r="E7" s="31">
        <v>1235</v>
      </c>
      <c r="F7" s="31">
        <v>0</v>
      </c>
      <c r="G7" s="31">
        <f>SUM(D7:F7)</f>
        <v>3377</v>
      </c>
    </row>
    <row r="8" spans="1:7" ht="12.75">
      <c r="A8" s="87" t="s">
        <v>92</v>
      </c>
      <c r="B8" s="87"/>
      <c r="C8" s="87"/>
      <c r="D8" s="31">
        <v>723</v>
      </c>
      <c r="E8" s="31">
        <v>0</v>
      </c>
      <c r="F8" s="31">
        <v>0</v>
      </c>
      <c r="G8" s="31">
        <f>SUM(D8:F8)</f>
        <v>723</v>
      </c>
    </row>
    <row r="9" spans="1:7" ht="12.75">
      <c r="A9" s="87" t="s">
        <v>878</v>
      </c>
      <c r="B9" s="87"/>
      <c r="C9" s="87"/>
      <c r="D9" s="40">
        <f>D8/D7*100</f>
        <v>33.753501400560225</v>
      </c>
      <c r="E9" s="40">
        <f>E8/E7*100</f>
        <v>0</v>
      </c>
      <c r="F9" s="40">
        <v>0</v>
      </c>
      <c r="G9" s="40">
        <f>G8/G7*100</f>
        <v>21.40953509031685</v>
      </c>
    </row>
    <row r="10" spans="4:7" ht="12.75">
      <c r="D10" s="31"/>
      <c r="E10" s="31"/>
      <c r="F10" s="31"/>
      <c r="G10" s="31"/>
    </row>
    <row r="11" ht="18" customHeight="1">
      <c r="A11" s="34" t="s">
        <v>721</v>
      </c>
    </row>
    <row r="12" spans="1:7" ht="25.5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2:7" ht="17.25" customHeight="1">
      <c r="B13" s="29" t="s">
        <v>5</v>
      </c>
      <c r="C13" s="83" t="s">
        <v>916</v>
      </c>
      <c r="D13" s="83"/>
      <c r="E13" s="28">
        <v>227</v>
      </c>
      <c r="G13" s="28" t="s">
        <v>96</v>
      </c>
    </row>
    <row r="14" spans="2:7" ht="17.25" customHeight="1">
      <c r="B14" s="29" t="s">
        <v>6</v>
      </c>
      <c r="C14" s="83" t="s">
        <v>917</v>
      </c>
      <c r="D14" s="83"/>
      <c r="E14" s="28">
        <v>19</v>
      </c>
      <c r="G14" s="28" t="s">
        <v>110</v>
      </c>
    </row>
    <row r="15" spans="2:7" ht="18" customHeight="1">
      <c r="B15" s="29" t="s">
        <v>7</v>
      </c>
      <c r="C15" s="83" t="s">
        <v>918</v>
      </c>
      <c r="D15" s="83"/>
      <c r="E15" s="28">
        <v>16</v>
      </c>
      <c r="G15" s="28" t="s">
        <v>111</v>
      </c>
    </row>
    <row r="16" spans="2:7" ht="16.5" customHeight="1">
      <c r="B16" s="29" t="s">
        <v>8</v>
      </c>
      <c r="C16" s="28" t="s">
        <v>919</v>
      </c>
      <c r="E16" s="28">
        <v>29</v>
      </c>
      <c r="G16" s="28" t="s">
        <v>65</v>
      </c>
    </row>
    <row r="17" spans="2:7" ht="16.5" customHeight="1">
      <c r="B17" s="29" t="s">
        <v>32</v>
      </c>
      <c r="C17" s="28" t="s">
        <v>873</v>
      </c>
      <c r="E17" s="28">
        <v>56</v>
      </c>
      <c r="G17" s="28" t="s">
        <v>65</v>
      </c>
    </row>
    <row r="18" spans="2:7" ht="16.5" customHeight="1">
      <c r="B18" s="29" t="s">
        <v>35</v>
      </c>
      <c r="C18" s="28" t="s">
        <v>124</v>
      </c>
      <c r="E18" s="28">
        <v>8</v>
      </c>
      <c r="G18" s="28" t="s">
        <v>69</v>
      </c>
    </row>
    <row r="19" spans="2:7" ht="16.5" customHeight="1">
      <c r="B19" s="29" t="s">
        <v>38</v>
      </c>
      <c r="C19" s="28" t="s">
        <v>125</v>
      </c>
      <c r="E19" s="28">
        <v>68</v>
      </c>
      <c r="G19" s="28" t="s">
        <v>69</v>
      </c>
    </row>
    <row r="20" spans="2:7" ht="15.75" customHeight="1">
      <c r="B20" s="29" t="s">
        <v>43</v>
      </c>
      <c r="C20" s="28" t="s">
        <v>130</v>
      </c>
      <c r="E20" s="28">
        <v>4</v>
      </c>
      <c r="G20" s="28" t="s">
        <v>17</v>
      </c>
    </row>
    <row r="21" spans="2:7" ht="18" customHeight="1">
      <c r="B21" s="29" t="s">
        <v>44</v>
      </c>
      <c r="C21" s="28" t="s">
        <v>131</v>
      </c>
      <c r="E21" s="28">
        <v>18</v>
      </c>
      <c r="G21" s="28" t="s">
        <v>17</v>
      </c>
    </row>
    <row r="22" spans="2:7" ht="18" customHeight="1">
      <c r="B22" s="29" t="s">
        <v>46</v>
      </c>
      <c r="C22" s="28" t="s">
        <v>132</v>
      </c>
      <c r="E22" s="28">
        <v>32</v>
      </c>
      <c r="G22" s="28" t="s">
        <v>17</v>
      </c>
    </row>
    <row r="23" spans="2:7" ht="18.75" customHeight="1">
      <c r="B23" s="29" t="s">
        <v>48</v>
      </c>
      <c r="C23" s="83" t="s">
        <v>722</v>
      </c>
      <c r="D23" s="83"/>
      <c r="E23" s="28">
        <v>12</v>
      </c>
      <c r="G23" s="28" t="s">
        <v>18</v>
      </c>
    </row>
    <row r="24" spans="2:7" ht="18" customHeight="1">
      <c r="B24" s="29" t="s">
        <v>51</v>
      </c>
      <c r="C24" s="83" t="s">
        <v>927</v>
      </c>
      <c r="D24" s="83"/>
      <c r="E24" s="28">
        <v>121</v>
      </c>
      <c r="G24" s="28" t="s">
        <v>19</v>
      </c>
    </row>
    <row r="25" spans="2:7" ht="16.5" customHeight="1">
      <c r="B25" s="29" t="s">
        <v>52</v>
      </c>
      <c r="C25" s="83" t="s">
        <v>920</v>
      </c>
      <c r="D25" s="83"/>
      <c r="E25" s="28">
        <v>21</v>
      </c>
      <c r="G25" s="28" t="s">
        <v>19</v>
      </c>
    </row>
    <row r="26" spans="2:7" ht="16.5" customHeight="1">
      <c r="B26" s="29" t="s">
        <v>54</v>
      </c>
      <c r="C26" s="4" t="s">
        <v>958</v>
      </c>
      <c r="D26" s="4"/>
      <c r="E26" s="28">
        <v>43</v>
      </c>
      <c r="G26" s="28" t="s">
        <v>901</v>
      </c>
    </row>
    <row r="27" spans="2:7" ht="16.5" customHeight="1">
      <c r="B27" s="29" t="s">
        <v>56</v>
      </c>
      <c r="C27" s="4" t="s">
        <v>986</v>
      </c>
      <c r="D27" s="4"/>
      <c r="E27" s="28">
        <v>49</v>
      </c>
      <c r="G27" s="28" t="s">
        <v>957</v>
      </c>
    </row>
    <row r="28" spans="2:5" ht="15.75" customHeight="1">
      <c r="B28" s="29"/>
      <c r="C28" s="39" t="s">
        <v>82</v>
      </c>
      <c r="D28" s="31"/>
      <c r="E28" s="34">
        <f>SUM(E13:E27)</f>
        <v>723</v>
      </c>
    </row>
    <row r="29" spans="2:5" ht="15.75" customHeight="1">
      <c r="B29" s="29"/>
      <c r="C29" s="39"/>
      <c r="D29" s="31"/>
      <c r="E29" s="34"/>
    </row>
    <row r="30" spans="1:6" ht="12.75">
      <c r="A30" s="34" t="s">
        <v>729</v>
      </c>
      <c r="F30" s="72" t="s">
        <v>987</v>
      </c>
    </row>
    <row r="31" spans="1:7" ht="9" customHeight="1">
      <c r="A31" s="43"/>
      <c r="C31" s="47"/>
      <c r="D31" s="47"/>
      <c r="E31" s="47"/>
      <c r="F31" s="64"/>
      <c r="G31" s="47"/>
    </row>
    <row r="32" spans="1:6" ht="19.5" customHeight="1">
      <c r="A32" s="34" t="s">
        <v>948</v>
      </c>
      <c r="B32" s="34"/>
      <c r="C32" s="34"/>
      <c r="F32" s="29" t="s">
        <v>728</v>
      </c>
    </row>
    <row r="33" spans="1:4" ht="16.5" customHeight="1">
      <c r="A33" s="34" t="s">
        <v>947</v>
      </c>
      <c r="B33" s="34"/>
      <c r="C33" s="34"/>
      <c r="D33" s="34"/>
    </row>
    <row r="34" spans="2:3" ht="15" customHeight="1">
      <c r="B34" s="35" t="s">
        <v>12</v>
      </c>
      <c r="C34" s="38" t="s">
        <v>90</v>
      </c>
    </row>
    <row r="35" spans="2:4" ht="13.5" customHeight="1">
      <c r="B35" s="28" t="s">
        <v>901</v>
      </c>
      <c r="C35" s="29">
        <v>8</v>
      </c>
      <c r="D35" s="31"/>
    </row>
    <row r="36" spans="2:4" ht="12.75">
      <c r="B36" s="28" t="s">
        <v>957</v>
      </c>
      <c r="C36" s="29">
        <v>7</v>
      </c>
      <c r="D36" s="31"/>
    </row>
    <row r="37" spans="2:3" ht="12.75">
      <c r="B37" s="28" t="s">
        <v>985</v>
      </c>
      <c r="C37" s="29">
        <v>2.5</v>
      </c>
    </row>
    <row r="38" spans="2:3" ht="12.75">
      <c r="B38" s="28" t="s">
        <v>1019</v>
      </c>
      <c r="C38" s="29">
        <v>1</v>
      </c>
    </row>
  </sheetData>
  <mergeCells count="14">
    <mergeCell ref="A9:C9"/>
    <mergeCell ref="C23:D23"/>
    <mergeCell ref="C24:D24"/>
    <mergeCell ref="C25:D25"/>
    <mergeCell ref="C12:D12"/>
    <mergeCell ref="C14:D14"/>
    <mergeCell ref="C15:D15"/>
    <mergeCell ref="C13:D13"/>
    <mergeCell ref="A7:C7"/>
    <mergeCell ref="A8:C8"/>
    <mergeCell ref="F1:G1"/>
    <mergeCell ref="A3:G3"/>
    <mergeCell ref="D4:E4"/>
    <mergeCell ref="A5:F5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352"/>
  <sheetViews>
    <sheetView workbookViewId="0" topLeftCell="C1">
      <selection activeCell="H6" sqref="H6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4.00390625" style="0" customWidth="1"/>
    <col min="4" max="4" width="10.57421875" style="0" customWidth="1"/>
    <col min="5" max="5" width="11.7109375" style="0" customWidth="1"/>
    <col min="6" max="6" width="12.421875" style="0" customWidth="1"/>
    <col min="7" max="7" width="13.7109375" style="0" customWidth="1"/>
  </cols>
  <sheetData>
    <row r="2" spans="3:4" ht="12.75">
      <c r="C2" t="s">
        <v>133</v>
      </c>
      <c r="D2" t="s">
        <v>207</v>
      </c>
    </row>
    <row r="3" ht="12.75">
      <c r="D3" t="s">
        <v>230</v>
      </c>
    </row>
    <row r="5" spans="4:7" ht="12.75">
      <c r="D5" t="s">
        <v>231</v>
      </c>
      <c r="G5" t="s">
        <v>232</v>
      </c>
    </row>
    <row r="7" spans="3:4" ht="12.75">
      <c r="C7" t="s">
        <v>88</v>
      </c>
      <c r="D7" t="s">
        <v>89</v>
      </c>
    </row>
    <row r="9" spans="4:6" ht="12.75">
      <c r="D9" t="s">
        <v>135</v>
      </c>
      <c r="F9" t="s">
        <v>90</v>
      </c>
    </row>
    <row r="10" spans="4:6" ht="12.75">
      <c r="D10" t="s">
        <v>13</v>
      </c>
      <c r="F10">
        <v>1.7</v>
      </c>
    </row>
    <row r="11" spans="4:6" ht="12.75">
      <c r="D11" t="s">
        <v>14</v>
      </c>
      <c r="F11">
        <v>22.53</v>
      </c>
    </row>
    <row r="12" spans="4:6" ht="12.75">
      <c r="D12" t="s">
        <v>15</v>
      </c>
      <c r="F12">
        <v>22</v>
      </c>
    </row>
    <row r="13" spans="4:6" ht="12.75">
      <c r="D13" t="s">
        <v>16</v>
      </c>
      <c r="F13">
        <v>75</v>
      </c>
    </row>
    <row r="14" spans="4:6" ht="12.75">
      <c r="D14" t="s">
        <v>17</v>
      </c>
      <c r="F14">
        <v>68</v>
      </c>
    </row>
    <row r="15" spans="4:6" ht="12.75">
      <c r="D15" t="s">
        <v>18</v>
      </c>
      <c r="F15" t="s">
        <v>233</v>
      </c>
    </row>
    <row r="18" ht="12.75">
      <c r="E18" t="s">
        <v>234</v>
      </c>
    </row>
    <row r="20" spans="3:4" ht="12.75">
      <c r="C20">
        <v>1</v>
      </c>
      <c r="D20" t="s">
        <v>235</v>
      </c>
    </row>
    <row r="21" ht="12.75">
      <c r="G21" t="s">
        <v>20</v>
      </c>
    </row>
    <row r="22" spans="4:7" ht="12.75">
      <c r="D22" t="s">
        <v>138</v>
      </c>
      <c r="G22">
        <v>2090</v>
      </c>
    </row>
    <row r="23" spans="4:7" ht="12.75">
      <c r="D23" t="s">
        <v>92</v>
      </c>
      <c r="G23">
        <v>196</v>
      </c>
    </row>
    <row r="24" spans="4:10" ht="12.75">
      <c r="D24" t="s">
        <v>93</v>
      </c>
      <c r="G24">
        <v>9.38</v>
      </c>
      <c r="H24" t="s">
        <v>79</v>
      </c>
      <c r="J24" t="s">
        <v>11</v>
      </c>
    </row>
    <row r="25" spans="4:8" ht="12.75">
      <c r="D25" t="s">
        <v>155</v>
      </c>
      <c r="H25" t="s">
        <v>80</v>
      </c>
    </row>
    <row r="26" ht="12.75">
      <c r="H26" t="s">
        <v>81</v>
      </c>
    </row>
    <row r="27" spans="3:4" ht="12.75">
      <c r="C27">
        <v>2</v>
      </c>
      <c r="D27" t="s">
        <v>237</v>
      </c>
    </row>
    <row r="28" spans="8:10" ht="12.75">
      <c r="H28">
        <v>85.56</v>
      </c>
      <c r="J28" t="s">
        <v>227</v>
      </c>
    </row>
    <row r="29" spans="4:7" ht="12.75">
      <c r="D29" t="s">
        <v>77</v>
      </c>
      <c r="E29" t="s">
        <v>3</v>
      </c>
      <c r="G29" t="s">
        <v>4</v>
      </c>
    </row>
    <row r="31" spans="4:7" ht="12.75">
      <c r="D31">
        <v>1</v>
      </c>
      <c r="E31" t="s">
        <v>238</v>
      </c>
      <c r="G31">
        <v>53</v>
      </c>
    </row>
    <row r="32" ht="12.75">
      <c r="E32" t="s">
        <v>239</v>
      </c>
    </row>
    <row r="33" spans="4:10" ht="12.75">
      <c r="D33">
        <v>2</v>
      </c>
      <c r="E33" t="s">
        <v>240</v>
      </c>
      <c r="G33">
        <v>56</v>
      </c>
      <c r="H33">
        <v>290.8</v>
      </c>
      <c r="J33" t="s">
        <v>228</v>
      </c>
    </row>
    <row r="34" ht="12.75">
      <c r="E34" t="s">
        <v>241</v>
      </c>
    </row>
    <row r="35" spans="4:7" ht="12.75">
      <c r="D35">
        <v>3</v>
      </c>
      <c r="E35" t="s">
        <v>242</v>
      </c>
      <c r="G35">
        <v>26</v>
      </c>
    </row>
    <row r="36" spans="4:7" ht="12.75">
      <c r="D36">
        <v>4</v>
      </c>
      <c r="E36" t="s">
        <v>243</v>
      </c>
      <c r="G36">
        <v>24</v>
      </c>
    </row>
    <row r="37" spans="4:10" ht="12.75">
      <c r="D37">
        <v>5</v>
      </c>
      <c r="E37" t="s">
        <v>244</v>
      </c>
      <c r="G37">
        <v>27</v>
      </c>
      <c r="H37">
        <v>133.14</v>
      </c>
      <c r="J37" t="s">
        <v>229</v>
      </c>
    </row>
    <row r="38" spans="4:7" ht="12.75">
      <c r="D38">
        <v>6</v>
      </c>
      <c r="E38" t="s">
        <v>245</v>
      </c>
      <c r="G38">
        <v>10</v>
      </c>
    </row>
    <row r="39" spans="4:7" ht="12.75">
      <c r="D39">
        <v>7</v>
      </c>
      <c r="E39" t="s">
        <v>23</v>
      </c>
      <c r="G39">
        <v>196</v>
      </c>
    </row>
    <row r="41" spans="4:5" ht="12.75">
      <c r="D41" t="s">
        <v>139</v>
      </c>
      <c r="E41" t="s">
        <v>246</v>
      </c>
    </row>
    <row r="43" spans="3:7" ht="12.75">
      <c r="C43" t="s">
        <v>248</v>
      </c>
      <c r="D43" t="s">
        <v>9</v>
      </c>
      <c r="F43" t="s">
        <v>247</v>
      </c>
      <c r="G43" t="s">
        <v>78</v>
      </c>
    </row>
    <row r="46" spans="3:7" ht="12.75">
      <c r="C46">
        <v>1</v>
      </c>
      <c r="D46" t="s">
        <v>249</v>
      </c>
      <c r="F46">
        <v>120</v>
      </c>
      <c r="G46">
        <v>51</v>
      </c>
    </row>
    <row r="47" ht="12.75">
      <c r="D47" t="s">
        <v>250</v>
      </c>
    </row>
    <row r="48" spans="3:7" ht="12.75">
      <c r="C48">
        <v>2</v>
      </c>
      <c r="D48" t="s">
        <v>251</v>
      </c>
      <c r="F48">
        <v>136</v>
      </c>
      <c r="G48">
        <v>0</v>
      </c>
    </row>
    <row r="49" spans="5:7" ht="12.75">
      <c r="E49" t="s">
        <v>23</v>
      </c>
      <c r="F49">
        <v>256</v>
      </c>
      <c r="G49">
        <v>51</v>
      </c>
    </row>
    <row r="51" ht="12.75">
      <c r="D51" t="s">
        <v>252</v>
      </c>
    </row>
    <row r="52" ht="12.75">
      <c r="D52" t="s">
        <v>253</v>
      </c>
    </row>
    <row r="54" spans="3:4" ht="12.75">
      <c r="C54" t="s">
        <v>133</v>
      </c>
      <c r="D54" t="s">
        <v>254</v>
      </c>
    </row>
    <row r="55" ht="12.75">
      <c r="D55" t="s">
        <v>255</v>
      </c>
    </row>
    <row r="56" ht="12.75">
      <c r="D56" t="s">
        <v>256</v>
      </c>
    </row>
    <row r="58" spans="3:4" ht="12.75">
      <c r="C58" t="s">
        <v>88</v>
      </c>
      <c r="D58" t="s">
        <v>89</v>
      </c>
    </row>
    <row r="60" spans="4:10" ht="12.75">
      <c r="D60" t="s">
        <v>135</v>
      </c>
      <c r="F60" t="s">
        <v>90</v>
      </c>
      <c r="J60" t="s">
        <v>137</v>
      </c>
    </row>
    <row r="61" spans="4:6" ht="12.75">
      <c r="D61" t="s">
        <v>13</v>
      </c>
      <c r="F61">
        <v>20.5</v>
      </c>
    </row>
    <row r="62" spans="4:6" ht="12.75">
      <c r="D62" t="s">
        <v>14</v>
      </c>
      <c r="F62">
        <v>7.92</v>
      </c>
    </row>
    <row r="63" spans="4:6" ht="12.75">
      <c r="D63" t="s">
        <v>15</v>
      </c>
      <c r="F63">
        <v>20</v>
      </c>
    </row>
    <row r="64" spans="4:10" ht="12.75">
      <c r="D64" t="s">
        <v>16</v>
      </c>
      <c r="F64">
        <v>27</v>
      </c>
      <c r="H64" t="s">
        <v>236</v>
      </c>
      <c r="I64" t="s">
        <v>22</v>
      </c>
      <c r="J64" t="s">
        <v>23</v>
      </c>
    </row>
    <row r="65" spans="4:10" ht="12.75">
      <c r="D65" t="s">
        <v>17</v>
      </c>
      <c r="F65">
        <v>20</v>
      </c>
      <c r="H65">
        <v>0</v>
      </c>
      <c r="I65">
        <v>12</v>
      </c>
      <c r="J65">
        <v>2102</v>
      </c>
    </row>
    <row r="66" spans="4:10" ht="12.75">
      <c r="D66" t="s">
        <v>18</v>
      </c>
      <c r="F66" t="s">
        <v>257</v>
      </c>
      <c r="H66">
        <v>0</v>
      </c>
      <c r="I66">
        <v>0</v>
      </c>
      <c r="J66">
        <v>196</v>
      </c>
    </row>
    <row r="67" spans="8:10" ht="12.75">
      <c r="H67">
        <v>0</v>
      </c>
      <c r="I67">
        <v>0</v>
      </c>
      <c r="J67">
        <v>9.32</v>
      </c>
    </row>
    <row r="69" ht="12.75">
      <c r="D69" t="s">
        <v>258</v>
      </c>
    </row>
    <row r="71" spans="3:4" ht="12.75">
      <c r="C71">
        <v>1</v>
      </c>
      <c r="D71" t="s">
        <v>259</v>
      </c>
    </row>
    <row r="72" spans="6:8" ht="12.75">
      <c r="F72" t="s">
        <v>20</v>
      </c>
      <c r="G72" t="s">
        <v>21</v>
      </c>
      <c r="H72" t="s">
        <v>95</v>
      </c>
    </row>
    <row r="73" spans="4:7" ht="12.75">
      <c r="D73" t="s">
        <v>138</v>
      </c>
      <c r="F73">
        <v>3025</v>
      </c>
      <c r="G73">
        <v>2803</v>
      </c>
    </row>
    <row r="74" spans="4:8" ht="12.75">
      <c r="D74" t="s">
        <v>92</v>
      </c>
      <c r="F74">
        <v>491</v>
      </c>
      <c r="G74">
        <v>0</v>
      </c>
      <c r="H74" t="s">
        <v>50</v>
      </c>
    </row>
    <row r="75" spans="4:7" ht="12.75">
      <c r="D75" t="s">
        <v>260</v>
      </c>
      <c r="F75">
        <v>16.23</v>
      </c>
      <c r="G75">
        <v>0</v>
      </c>
    </row>
    <row r="76" spans="4:8" ht="12.75">
      <c r="D76" t="s">
        <v>155</v>
      </c>
      <c r="H76" t="s">
        <v>61</v>
      </c>
    </row>
    <row r="78" spans="3:8" ht="12.75">
      <c r="C78" t="s">
        <v>173</v>
      </c>
      <c r="D78" t="s">
        <v>261</v>
      </c>
      <c r="H78" t="s">
        <v>69</v>
      </c>
    </row>
    <row r="79" spans="6:8" ht="12.75">
      <c r="F79" t="s">
        <v>154</v>
      </c>
      <c r="H79" t="s">
        <v>69</v>
      </c>
    </row>
    <row r="80" spans="3:8" ht="12.75">
      <c r="C80" t="s">
        <v>77</v>
      </c>
      <c r="D80" t="s">
        <v>3</v>
      </c>
      <c r="F80" t="s">
        <v>4</v>
      </c>
      <c r="H80" t="s">
        <v>226</v>
      </c>
    </row>
    <row r="81" spans="3:8" ht="12.75">
      <c r="C81" t="s">
        <v>140</v>
      </c>
      <c r="D81" t="s">
        <v>262</v>
      </c>
      <c r="F81">
        <v>36</v>
      </c>
      <c r="H81" t="s">
        <v>17</v>
      </c>
    </row>
    <row r="82" spans="3:8" ht="12.75">
      <c r="C82" t="s">
        <v>97</v>
      </c>
      <c r="D82" t="s">
        <v>263</v>
      </c>
      <c r="F82">
        <v>393</v>
      </c>
      <c r="H82" t="s">
        <v>17</v>
      </c>
    </row>
    <row r="83" ht="12.75">
      <c r="D83" t="s">
        <v>264</v>
      </c>
    </row>
    <row r="84" spans="3:6" ht="12.75">
      <c r="C84" t="s">
        <v>144</v>
      </c>
      <c r="D84" t="s">
        <v>266</v>
      </c>
      <c r="F84">
        <v>13</v>
      </c>
    </row>
    <row r="85" spans="3:6" ht="12.75">
      <c r="C85" t="s">
        <v>146</v>
      </c>
      <c r="D85" t="s">
        <v>267</v>
      </c>
      <c r="F85">
        <v>12</v>
      </c>
    </row>
    <row r="86" spans="3:12" ht="12.75">
      <c r="C86" t="s">
        <v>148</v>
      </c>
      <c r="D86" t="s">
        <v>268</v>
      </c>
      <c r="F86">
        <v>37</v>
      </c>
      <c r="H86" t="s">
        <v>10</v>
      </c>
      <c r="J86" t="s">
        <v>79</v>
      </c>
      <c r="L86" t="s">
        <v>11</v>
      </c>
    </row>
    <row r="87" spans="4:10" ht="12.75">
      <c r="D87" t="s">
        <v>23</v>
      </c>
      <c r="F87">
        <v>491</v>
      </c>
      <c r="J87" t="s">
        <v>80</v>
      </c>
    </row>
    <row r="88" ht="12.75">
      <c r="J88" t="s">
        <v>81</v>
      </c>
    </row>
    <row r="89" spans="3:12" ht="12.75">
      <c r="C89" t="s">
        <v>152</v>
      </c>
      <c r="D89" t="s">
        <v>270</v>
      </c>
      <c r="H89">
        <v>69</v>
      </c>
      <c r="J89">
        <v>44.08</v>
      </c>
      <c r="L89" s="2">
        <v>36951</v>
      </c>
    </row>
    <row r="91" spans="3:12" ht="12.75">
      <c r="C91" t="s">
        <v>133</v>
      </c>
      <c r="D91" t="s">
        <v>154</v>
      </c>
      <c r="H91">
        <v>136</v>
      </c>
      <c r="J91">
        <v>93.07</v>
      </c>
      <c r="L91" s="3">
        <v>36954</v>
      </c>
    </row>
    <row r="92" spans="4:8" ht="12.75">
      <c r="D92" t="s">
        <v>271</v>
      </c>
      <c r="H92">
        <v>205</v>
      </c>
    </row>
    <row r="94" ht="12.75">
      <c r="D94" t="s">
        <v>272</v>
      </c>
    </row>
    <row r="96" spans="3:4" ht="12.75">
      <c r="C96" t="s">
        <v>88</v>
      </c>
      <c r="D96" t="s">
        <v>273</v>
      </c>
    </row>
    <row r="98" spans="4:6" ht="12.75">
      <c r="D98" t="s">
        <v>135</v>
      </c>
      <c r="F98" t="s">
        <v>90</v>
      </c>
    </row>
    <row r="99" spans="4:6" ht="12.75">
      <c r="D99" t="s">
        <v>13</v>
      </c>
      <c r="F99" t="s">
        <v>134</v>
      </c>
    </row>
    <row r="100" spans="4:6" ht="12.75">
      <c r="D100" t="s">
        <v>14</v>
      </c>
      <c r="F100" t="s">
        <v>134</v>
      </c>
    </row>
    <row r="101" spans="4:6" ht="12.75">
      <c r="D101" t="s">
        <v>15</v>
      </c>
      <c r="F101" t="s">
        <v>134</v>
      </c>
    </row>
    <row r="102" spans="4:6" ht="12.75">
      <c r="D102" t="s">
        <v>16</v>
      </c>
      <c r="F102" t="s">
        <v>134</v>
      </c>
    </row>
    <row r="103" spans="4:6" ht="12.75">
      <c r="D103" t="s">
        <v>17</v>
      </c>
      <c r="F103" t="s">
        <v>134</v>
      </c>
    </row>
    <row r="104" spans="4:6" ht="12.75">
      <c r="D104" t="s">
        <v>18</v>
      </c>
      <c r="F104" t="s">
        <v>274</v>
      </c>
    </row>
    <row r="109" ht="12.75">
      <c r="E109" t="s">
        <v>276</v>
      </c>
    </row>
    <row r="110" ht="12.75">
      <c r="F110" t="s">
        <v>277</v>
      </c>
    </row>
    <row r="111" ht="12.75">
      <c r="I111" t="s">
        <v>137</v>
      </c>
    </row>
    <row r="112" spans="3:4" ht="12.75">
      <c r="C112">
        <v>1</v>
      </c>
      <c r="D112" t="s">
        <v>278</v>
      </c>
    </row>
    <row r="114" spans="6:7" ht="12.75">
      <c r="F114" t="s">
        <v>20</v>
      </c>
      <c r="G114" t="s">
        <v>21</v>
      </c>
    </row>
    <row r="115" spans="4:9" ht="12.75">
      <c r="D115" t="s">
        <v>138</v>
      </c>
      <c r="F115">
        <v>1981</v>
      </c>
      <c r="G115">
        <v>2207</v>
      </c>
      <c r="H115" t="s">
        <v>22</v>
      </c>
      <c r="I115" t="s">
        <v>23</v>
      </c>
    </row>
    <row r="116" spans="4:9" ht="12.75">
      <c r="D116" t="s">
        <v>92</v>
      </c>
      <c r="F116">
        <v>668</v>
      </c>
      <c r="G116">
        <v>168</v>
      </c>
      <c r="H116">
        <v>88</v>
      </c>
      <c r="I116">
        <v>5916</v>
      </c>
    </row>
    <row r="117" spans="4:9" ht="12.75">
      <c r="D117" t="s">
        <v>279</v>
      </c>
      <c r="F117">
        <v>33.72</v>
      </c>
      <c r="G117">
        <v>7.61</v>
      </c>
      <c r="H117">
        <v>0</v>
      </c>
      <c r="I117">
        <v>491</v>
      </c>
    </row>
    <row r="118" spans="4:9" ht="12.75">
      <c r="D118" t="s">
        <v>155</v>
      </c>
      <c r="H118">
        <v>0</v>
      </c>
      <c r="I118">
        <v>8.3</v>
      </c>
    </row>
    <row r="120" spans="3:4" ht="12.75">
      <c r="C120" t="s">
        <v>139</v>
      </c>
      <c r="D120" t="s">
        <v>280</v>
      </c>
    </row>
    <row r="121" spans="3:7" ht="12.75">
      <c r="C121" t="s">
        <v>77</v>
      </c>
      <c r="D121" t="s">
        <v>3</v>
      </c>
      <c r="G121" t="s">
        <v>4</v>
      </c>
    </row>
    <row r="123" spans="3:8" ht="12.75">
      <c r="C123">
        <v>1</v>
      </c>
      <c r="D123" t="s">
        <v>281</v>
      </c>
      <c r="G123">
        <v>29</v>
      </c>
      <c r="H123" t="s">
        <v>95</v>
      </c>
    </row>
    <row r="124" spans="3:8" ht="12.75">
      <c r="C124">
        <v>2</v>
      </c>
      <c r="D124" t="s">
        <v>284</v>
      </c>
      <c r="G124">
        <v>134</v>
      </c>
      <c r="H124" t="s">
        <v>105</v>
      </c>
    </row>
    <row r="125" spans="3:8" ht="12.75">
      <c r="C125">
        <v>3</v>
      </c>
      <c r="D125" t="s">
        <v>285</v>
      </c>
      <c r="G125">
        <v>52</v>
      </c>
      <c r="H125" t="s">
        <v>265</v>
      </c>
    </row>
    <row r="126" spans="3:7" ht="12.75">
      <c r="C126">
        <v>4</v>
      </c>
      <c r="D126" t="s">
        <v>287</v>
      </c>
      <c r="G126">
        <v>375</v>
      </c>
    </row>
    <row r="127" spans="3:8" ht="12.75">
      <c r="C127">
        <v>5</v>
      </c>
      <c r="D127" t="s">
        <v>289</v>
      </c>
      <c r="G127">
        <v>24</v>
      </c>
      <c r="H127" t="s">
        <v>109</v>
      </c>
    </row>
    <row r="128" spans="3:8" ht="12.75">
      <c r="C128">
        <v>6</v>
      </c>
      <c r="D128" t="s">
        <v>290</v>
      </c>
      <c r="G128">
        <v>20</v>
      </c>
      <c r="H128" t="s">
        <v>109</v>
      </c>
    </row>
    <row r="129" spans="3:8" ht="12.75">
      <c r="C129">
        <v>7</v>
      </c>
      <c r="D129" t="s">
        <v>291</v>
      </c>
      <c r="G129">
        <v>68</v>
      </c>
      <c r="H129" t="s">
        <v>269</v>
      </c>
    </row>
    <row r="130" spans="3:7" ht="12.75">
      <c r="C130">
        <v>8</v>
      </c>
      <c r="D130" t="s">
        <v>292</v>
      </c>
      <c r="G130">
        <v>130</v>
      </c>
    </row>
    <row r="131" spans="3:7" ht="12.75">
      <c r="C131">
        <v>9</v>
      </c>
      <c r="D131" t="s">
        <v>293</v>
      </c>
      <c r="G131">
        <v>4</v>
      </c>
    </row>
    <row r="132" spans="6:10" ht="12.75">
      <c r="F132" t="s">
        <v>23</v>
      </c>
      <c r="G132">
        <v>836</v>
      </c>
      <c r="J132" t="s">
        <v>167</v>
      </c>
    </row>
    <row r="134" spans="3:4" ht="12.75">
      <c r="C134" t="s">
        <v>152</v>
      </c>
      <c r="D134" t="s">
        <v>294</v>
      </c>
    </row>
    <row r="136" spans="3:7" ht="12.75">
      <c r="C136" t="s">
        <v>77</v>
      </c>
      <c r="D136" t="s">
        <v>9</v>
      </c>
      <c r="F136" t="s">
        <v>295</v>
      </c>
      <c r="G136" t="s">
        <v>78</v>
      </c>
    </row>
    <row r="139" spans="3:7" ht="12.75">
      <c r="C139">
        <v>1</v>
      </c>
      <c r="D139" t="s">
        <v>297</v>
      </c>
      <c r="F139">
        <v>197</v>
      </c>
      <c r="G139">
        <v>0</v>
      </c>
    </row>
    <row r="140" ht="12.75">
      <c r="D140" t="s">
        <v>298</v>
      </c>
    </row>
    <row r="141" ht="12.75">
      <c r="D141" t="s">
        <v>299</v>
      </c>
    </row>
    <row r="143" spans="4:7" ht="12.75">
      <c r="D143" t="s">
        <v>23</v>
      </c>
      <c r="F143">
        <v>197</v>
      </c>
      <c r="G143">
        <v>0</v>
      </c>
    </row>
    <row r="145" ht="12.75">
      <c r="D145" t="s">
        <v>301</v>
      </c>
    </row>
    <row r="146" ht="12.75">
      <c r="D146" t="s">
        <v>302</v>
      </c>
    </row>
    <row r="149" spans="3:4" ht="12.75">
      <c r="C149" t="s">
        <v>303</v>
      </c>
      <c r="D149" t="s">
        <v>177</v>
      </c>
    </row>
    <row r="150" spans="4:9" ht="12.75">
      <c r="D150" t="s">
        <v>304</v>
      </c>
      <c r="I150" t="s">
        <v>275</v>
      </c>
    </row>
    <row r="152" spans="3:4" ht="12.75">
      <c r="C152" t="s">
        <v>88</v>
      </c>
      <c r="D152" t="s">
        <v>89</v>
      </c>
    </row>
    <row r="154" spans="4:6" ht="12.75">
      <c r="D154" t="s">
        <v>135</v>
      </c>
      <c r="F154" t="s">
        <v>90</v>
      </c>
    </row>
    <row r="155" spans="4:6" ht="12.75">
      <c r="D155" t="s">
        <v>13</v>
      </c>
      <c r="F155">
        <v>30.67</v>
      </c>
    </row>
    <row r="156" spans="4:6" ht="12.75">
      <c r="D156" t="s">
        <v>14</v>
      </c>
      <c r="F156" t="s">
        <v>134</v>
      </c>
    </row>
    <row r="157" spans="4:9" ht="12.75">
      <c r="D157" t="s">
        <v>15</v>
      </c>
      <c r="F157" t="s">
        <v>134</v>
      </c>
      <c r="H157" t="s">
        <v>22</v>
      </c>
      <c r="I157" t="s">
        <v>23</v>
      </c>
    </row>
    <row r="158" spans="4:9" ht="12.75">
      <c r="D158" t="s">
        <v>16</v>
      </c>
      <c r="F158" t="s">
        <v>134</v>
      </c>
      <c r="H158">
        <v>0</v>
      </c>
      <c r="I158">
        <v>4188</v>
      </c>
    </row>
    <row r="159" spans="4:9" ht="12.75">
      <c r="D159" t="s">
        <v>17</v>
      </c>
      <c r="F159">
        <v>5</v>
      </c>
      <c r="H159">
        <v>0</v>
      </c>
      <c r="I159">
        <v>836</v>
      </c>
    </row>
    <row r="160" spans="4:9" ht="12.75">
      <c r="D160" t="s">
        <v>18</v>
      </c>
      <c r="F160" t="s">
        <v>305</v>
      </c>
      <c r="H160">
        <v>0</v>
      </c>
      <c r="I160">
        <v>19.96</v>
      </c>
    </row>
    <row r="164" spans="5:8" ht="12.75">
      <c r="E164" t="s">
        <v>306</v>
      </c>
      <c r="H164" t="s">
        <v>282</v>
      </c>
    </row>
    <row r="166" spans="3:8" ht="12.75">
      <c r="C166">
        <v>1</v>
      </c>
      <c r="D166" t="s">
        <v>168</v>
      </c>
      <c r="H166" t="s">
        <v>283</v>
      </c>
    </row>
    <row r="167" ht="12.75">
      <c r="H167" t="s">
        <v>210</v>
      </c>
    </row>
    <row r="168" spans="6:8" ht="12.75">
      <c r="F168" t="s">
        <v>20</v>
      </c>
      <c r="G168" t="s">
        <v>21</v>
      </c>
      <c r="H168" t="s">
        <v>286</v>
      </c>
    </row>
    <row r="169" spans="4:8" ht="12.75">
      <c r="D169" t="s">
        <v>307</v>
      </c>
      <c r="H169" t="s">
        <v>288</v>
      </c>
    </row>
    <row r="170" spans="4:8" ht="12.75">
      <c r="D170" t="s">
        <v>91</v>
      </c>
      <c r="F170">
        <v>7011</v>
      </c>
      <c r="G170">
        <v>1882</v>
      </c>
      <c r="H170" t="s">
        <v>205</v>
      </c>
    </row>
    <row r="171" ht="12.75">
      <c r="H171" t="s">
        <v>29</v>
      </c>
    </row>
    <row r="172" spans="4:8" ht="12.75">
      <c r="D172" t="s">
        <v>92</v>
      </c>
      <c r="F172">
        <v>1336</v>
      </c>
      <c r="G172">
        <v>0</v>
      </c>
      <c r="H172" t="s">
        <v>37</v>
      </c>
    </row>
    <row r="173" ht="12.75">
      <c r="H173" t="s">
        <v>50</v>
      </c>
    </row>
    <row r="174" spans="4:8" ht="12.75">
      <c r="D174" t="s">
        <v>308</v>
      </c>
      <c r="F174">
        <v>19.06</v>
      </c>
      <c r="G174">
        <v>0</v>
      </c>
      <c r="H174" t="s">
        <v>65</v>
      </c>
    </row>
    <row r="175" ht="12.75">
      <c r="D175" t="s">
        <v>155</v>
      </c>
    </row>
    <row r="177" spans="3:4" ht="12.75">
      <c r="C177" t="s">
        <v>139</v>
      </c>
      <c r="D177" t="s">
        <v>309</v>
      </c>
    </row>
    <row r="179" spans="3:11" ht="12.75">
      <c r="C179" t="s">
        <v>94</v>
      </c>
      <c r="D179" t="s">
        <v>3</v>
      </c>
      <c r="F179" t="s">
        <v>4</v>
      </c>
      <c r="G179" t="s">
        <v>95</v>
      </c>
      <c r="H179" t="s">
        <v>176</v>
      </c>
      <c r="I179" t="s">
        <v>79</v>
      </c>
      <c r="K179" t="s">
        <v>296</v>
      </c>
    </row>
    <row r="180" spans="8:9" ht="12.75">
      <c r="H180" t="s">
        <v>4</v>
      </c>
      <c r="I180" t="s">
        <v>80</v>
      </c>
    </row>
    <row r="181" spans="3:9" ht="12.75">
      <c r="C181">
        <v>1</v>
      </c>
      <c r="D181" t="s">
        <v>310</v>
      </c>
      <c r="F181">
        <v>819</v>
      </c>
      <c r="G181" t="s">
        <v>311</v>
      </c>
      <c r="I181" t="s">
        <v>81</v>
      </c>
    </row>
    <row r="182" spans="3:11" ht="12.75">
      <c r="C182">
        <v>2</v>
      </c>
      <c r="D182" t="s">
        <v>312</v>
      </c>
      <c r="F182">
        <v>132</v>
      </c>
      <c r="G182" t="s">
        <v>29</v>
      </c>
      <c r="H182">
        <v>197</v>
      </c>
      <c r="I182">
        <v>34.2</v>
      </c>
      <c r="K182" t="s">
        <v>300</v>
      </c>
    </row>
    <row r="183" spans="3:7" ht="12.75">
      <c r="C183">
        <v>3</v>
      </c>
      <c r="D183" t="s">
        <v>313</v>
      </c>
      <c r="F183">
        <v>20</v>
      </c>
      <c r="G183" t="s">
        <v>105</v>
      </c>
    </row>
    <row r="184" spans="3:7" ht="12.75">
      <c r="C184">
        <v>4</v>
      </c>
      <c r="D184" t="s">
        <v>314</v>
      </c>
      <c r="F184">
        <v>65</v>
      </c>
      <c r="G184" t="s">
        <v>315</v>
      </c>
    </row>
    <row r="185" spans="3:7" ht="12.75">
      <c r="C185">
        <v>5</v>
      </c>
      <c r="D185" t="s">
        <v>316</v>
      </c>
      <c r="F185">
        <v>72</v>
      </c>
      <c r="G185" t="s">
        <v>109</v>
      </c>
    </row>
    <row r="186" spans="3:8" ht="12.75">
      <c r="C186">
        <v>6</v>
      </c>
      <c r="D186" t="s">
        <v>317</v>
      </c>
      <c r="F186">
        <v>77</v>
      </c>
      <c r="G186" t="s">
        <v>318</v>
      </c>
      <c r="H186">
        <v>197</v>
      </c>
    </row>
    <row r="187" spans="3:7" ht="12.75">
      <c r="C187">
        <v>7</v>
      </c>
      <c r="D187" t="s">
        <v>319</v>
      </c>
      <c r="F187">
        <v>11</v>
      </c>
      <c r="G187" t="s">
        <v>65</v>
      </c>
    </row>
    <row r="188" spans="3:7" ht="12.75">
      <c r="C188">
        <v>8</v>
      </c>
      <c r="D188" t="s">
        <v>320</v>
      </c>
      <c r="F188">
        <v>2</v>
      </c>
      <c r="G188" t="s">
        <v>69</v>
      </c>
    </row>
    <row r="189" spans="3:7" ht="12.75">
      <c r="C189">
        <v>9</v>
      </c>
      <c r="D189" t="s">
        <v>321</v>
      </c>
      <c r="F189">
        <v>14</v>
      </c>
      <c r="G189" t="s">
        <v>69</v>
      </c>
    </row>
    <row r="190" spans="3:7" ht="12.75">
      <c r="C190">
        <v>10</v>
      </c>
      <c r="D190" t="s">
        <v>322</v>
      </c>
      <c r="F190">
        <v>7</v>
      </c>
      <c r="G190" t="s">
        <v>69</v>
      </c>
    </row>
    <row r="191" spans="3:7" ht="12.75">
      <c r="C191">
        <v>11</v>
      </c>
      <c r="D191" t="s">
        <v>323</v>
      </c>
      <c r="F191">
        <v>49</v>
      </c>
      <c r="G191" t="s">
        <v>17</v>
      </c>
    </row>
    <row r="192" spans="3:7" ht="12.75">
      <c r="C192">
        <v>12</v>
      </c>
      <c r="D192" t="s">
        <v>324</v>
      </c>
      <c r="F192">
        <v>8</v>
      </c>
      <c r="G192" t="s">
        <v>17</v>
      </c>
    </row>
    <row r="193" spans="3:7" ht="12.75">
      <c r="C193">
        <v>13</v>
      </c>
      <c r="D193" t="s">
        <v>325</v>
      </c>
      <c r="F193">
        <v>4</v>
      </c>
      <c r="G193" t="s">
        <v>17</v>
      </c>
    </row>
    <row r="194" spans="3:7" ht="12.75">
      <c r="C194">
        <v>14</v>
      </c>
      <c r="D194" t="s">
        <v>326</v>
      </c>
      <c r="F194">
        <v>56</v>
      </c>
      <c r="G194" t="s">
        <v>17</v>
      </c>
    </row>
    <row r="195" spans="5:6" ht="12.75">
      <c r="E195" t="s">
        <v>23</v>
      </c>
      <c r="F195">
        <v>1336</v>
      </c>
    </row>
    <row r="197" spans="3:4" ht="12.75">
      <c r="C197" t="s">
        <v>152</v>
      </c>
      <c r="D197" t="s">
        <v>327</v>
      </c>
    </row>
    <row r="199" spans="3:7" ht="12.75">
      <c r="C199" t="s">
        <v>77</v>
      </c>
      <c r="D199" t="s">
        <v>9</v>
      </c>
      <c r="F199" t="s">
        <v>153</v>
      </c>
      <c r="G199" t="s">
        <v>78</v>
      </c>
    </row>
    <row r="200" ht="12.75">
      <c r="F200" t="s">
        <v>328</v>
      </c>
    </row>
    <row r="202" spans="3:4" ht="12.75">
      <c r="C202">
        <v>1</v>
      </c>
      <c r="D202" t="s">
        <v>329</v>
      </c>
    </row>
    <row r="203" spans="4:7" ht="12.75">
      <c r="D203" t="s">
        <v>330</v>
      </c>
      <c r="F203">
        <v>206</v>
      </c>
      <c r="G203">
        <v>21</v>
      </c>
    </row>
    <row r="204" ht="12.75">
      <c r="D204" t="s">
        <v>331</v>
      </c>
    </row>
    <row r="205" spans="3:7" ht="12.75">
      <c r="C205">
        <v>2</v>
      </c>
      <c r="D205" t="s">
        <v>333</v>
      </c>
      <c r="F205">
        <v>79</v>
      </c>
      <c r="G205">
        <v>56</v>
      </c>
    </row>
    <row r="206" spans="4:10" ht="12.75">
      <c r="D206" t="s">
        <v>334</v>
      </c>
      <c r="J206" t="s">
        <v>275</v>
      </c>
    </row>
    <row r="207" ht="12.75">
      <c r="D207" t="s">
        <v>335</v>
      </c>
    </row>
    <row r="208" ht="12.75">
      <c r="D208" t="s">
        <v>334</v>
      </c>
    </row>
    <row r="209" spans="3:7" ht="12.75">
      <c r="C209">
        <v>3</v>
      </c>
      <c r="D209" t="s">
        <v>336</v>
      </c>
      <c r="F209" t="s">
        <v>338</v>
      </c>
      <c r="G209">
        <v>0</v>
      </c>
    </row>
    <row r="210" ht="12.75">
      <c r="D210" t="s">
        <v>337</v>
      </c>
    </row>
    <row r="211" spans="3:9" ht="12.75">
      <c r="C211">
        <v>4</v>
      </c>
      <c r="D211" t="s">
        <v>334</v>
      </c>
      <c r="H211" t="s">
        <v>22</v>
      </c>
      <c r="I211" t="s">
        <v>23</v>
      </c>
    </row>
    <row r="212" spans="4:7" ht="12.75">
      <c r="D212" t="s">
        <v>340</v>
      </c>
      <c r="F212">
        <v>68</v>
      </c>
      <c r="G212">
        <v>0</v>
      </c>
    </row>
    <row r="213" spans="4:9" ht="12.75">
      <c r="D213" t="s">
        <v>341</v>
      </c>
      <c r="H213">
        <v>0</v>
      </c>
      <c r="I213">
        <v>8893</v>
      </c>
    </row>
    <row r="214" ht="12.75">
      <c r="D214" t="s">
        <v>334</v>
      </c>
    </row>
    <row r="215" spans="4:9" ht="12.75">
      <c r="D215" t="s">
        <v>342</v>
      </c>
      <c r="H215">
        <v>0</v>
      </c>
      <c r="I215">
        <v>1336</v>
      </c>
    </row>
    <row r="216" ht="12.75">
      <c r="D216" t="s">
        <v>343</v>
      </c>
    </row>
    <row r="217" spans="5:9" ht="12.75">
      <c r="E217" t="s">
        <v>23</v>
      </c>
      <c r="F217">
        <v>353</v>
      </c>
      <c r="G217">
        <v>77</v>
      </c>
      <c r="H217">
        <v>0</v>
      </c>
      <c r="I217">
        <v>15.02</v>
      </c>
    </row>
    <row r="219" ht="12.75">
      <c r="E219" t="s">
        <v>344</v>
      </c>
    </row>
    <row r="220" ht="12.75">
      <c r="E220" t="s">
        <v>345</v>
      </c>
    </row>
    <row r="222" spans="3:4" ht="12.75">
      <c r="C222" t="s">
        <v>133</v>
      </c>
      <c r="D222" t="s">
        <v>154</v>
      </c>
    </row>
    <row r="223" ht="12.75">
      <c r="D223" t="s">
        <v>346</v>
      </c>
    </row>
    <row r="225" spans="4:5" ht="12.75">
      <c r="D225">
        <v>1</v>
      </c>
      <c r="E225" t="s">
        <v>347</v>
      </c>
    </row>
    <row r="226" spans="4:5" ht="12.75">
      <c r="D226">
        <v>2</v>
      </c>
      <c r="E226" t="s">
        <v>348</v>
      </c>
    </row>
    <row r="227" spans="4:5" ht="12.75">
      <c r="D227">
        <v>3</v>
      </c>
      <c r="E227" t="s">
        <v>349</v>
      </c>
    </row>
    <row r="228" spans="4:5" ht="12.75">
      <c r="D228">
        <v>4</v>
      </c>
      <c r="E228" t="s">
        <v>350</v>
      </c>
    </row>
    <row r="230" spans="3:4" ht="12.75">
      <c r="C230" t="s">
        <v>88</v>
      </c>
      <c r="D230" t="s">
        <v>89</v>
      </c>
    </row>
    <row r="232" spans="4:6" ht="12.75">
      <c r="D232" t="s">
        <v>135</v>
      </c>
      <c r="F232" t="s">
        <v>136</v>
      </c>
    </row>
    <row r="233" spans="4:6" ht="12.75">
      <c r="D233" t="s">
        <v>13</v>
      </c>
      <c r="F233">
        <v>5.16</v>
      </c>
    </row>
    <row r="234" spans="4:6" ht="12.75">
      <c r="D234" t="s">
        <v>14</v>
      </c>
      <c r="F234">
        <v>8.29</v>
      </c>
    </row>
    <row r="235" spans="4:6" ht="12.75">
      <c r="D235" t="s">
        <v>15</v>
      </c>
      <c r="F235">
        <v>17</v>
      </c>
    </row>
    <row r="236" spans="4:6" ht="12.75">
      <c r="D236" t="s">
        <v>16</v>
      </c>
      <c r="F236">
        <v>20</v>
      </c>
    </row>
    <row r="237" spans="4:6" ht="12.75">
      <c r="D237" t="s">
        <v>17</v>
      </c>
      <c r="F237">
        <v>50</v>
      </c>
    </row>
    <row r="238" spans="4:6" ht="12.75">
      <c r="D238" t="s">
        <v>18</v>
      </c>
      <c r="F238" t="s">
        <v>351</v>
      </c>
    </row>
    <row r="242" spans="4:12" ht="12.75">
      <c r="D242" t="s">
        <v>352</v>
      </c>
      <c r="H242" t="s">
        <v>10</v>
      </c>
      <c r="J242" t="s">
        <v>79</v>
      </c>
      <c r="L242" t="s">
        <v>11</v>
      </c>
    </row>
    <row r="243" ht="12.75">
      <c r="J243" t="s">
        <v>80</v>
      </c>
    </row>
    <row r="244" ht="12.75">
      <c r="J244" t="s">
        <v>81</v>
      </c>
    </row>
    <row r="245" spans="3:4" ht="12.75">
      <c r="C245">
        <v>1</v>
      </c>
      <c r="D245" t="s">
        <v>168</v>
      </c>
    </row>
    <row r="246" spans="8:12" ht="12.75">
      <c r="H246">
        <v>185</v>
      </c>
      <c r="J246">
        <v>114.43</v>
      </c>
      <c r="L246" t="s">
        <v>332</v>
      </c>
    </row>
    <row r="247" spans="6:7" ht="12.75">
      <c r="F247" t="s">
        <v>20</v>
      </c>
      <c r="G247" t="s">
        <v>21</v>
      </c>
    </row>
    <row r="248" spans="8:12" ht="12.75">
      <c r="H248">
        <v>23</v>
      </c>
      <c r="J248">
        <v>50.95</v>
      </c>
      <c r="L248" t="s">
        <v>332</v>
      </c>
    </row>
    <row r="249" spans="4:7" ht="12.75">
      <c r="D249" t="s">
        <v>138</v>
      </c>
      <c r="F249">
        <v>3006</v>
      </c>
      <c r="G249">
        <v>463</v>
      </c>
    </row>
    <row r="250" spans="4:7" ht="12.75">
      <c r="D250" t="s">
        <v>92</v>
      </c>
      <c r="F250">
        <v>1662</v>
      </c>
      <c r="G250">
        <v>0</v>
      </c>
    </row>
    <row r="251" spans="4:7" ht="12.75">
      <c r="D251" t="s">
        <v>169</v>
      </c>
      <c r="F251">
        <v>55.29</v>
      </c>
      <c r="G251">
        <v>0</v>
      </c>
    </row>
    <row r="252" spans="4:12" ht="12.75">
      <c r="D252" t="s">
        <v>170</v>
      </c>
      <c r="H252" t="s">
        <v>338</v>
      </c>
      <c r="J252">
        <v>89.21</v>
      </c>
      <c r="L252" t="s">
        <v>339</v>
      </c>
    </row>
    <row r="254" spans="3:4" ht="12.75">
      <c r="C254" t="s">
        <v>139</v>
      </c>
      <c r="D254" t="s">
        <v>353</v>
      </c>
    </row>
    <row r="255" spans="8:12" ht="12.75">
      <c r="H255">
        <v>68</v>
      </c>
      <c r="J255">
        <v>49.96</v>
      </c>
      <c r="L255" t="s">
        <v>332</v>
      </c>
    </row>
    <row r="256" spans="3:7" ht="12.75">
      <c r="C256" t="s">
        <v>77</v>
      </c>
      <c r="D256" t="s">
        <v>3</v>
      </c>
      <c r="G256" t="s">
        <v>4</v>
      </c>
    </row>
    <row r="258" spans="3:7" ht="12.75">
      <c r="C258">
        <v>1</v>
      </c>
      <c r="D258" t="s">
        <v>354</v>
      </c>
      <c r="G258">
        <v>142</v>
      </c>
    </row>
    <row r="259" ht="12.75">
      <c r="D259" t="s">
        <v>355</v>
      </c>
    </row>
    <row r="260" ht="12.75">
      <c r="H260">
        <v>276</v>
      </c>
    </row>
    <row r="261" spans="3:7" ht="12.75">
      <c r="C261">
        <v>2</v>
      </c>
      <c r="D261" t="s">
        <v>358</v>
      </c>
      <c r="G261">
        <v>130</v>
      </c>
    </row>
    <row r="262" spans="3:7" ht="12.75">
      <c r="C262">
        <v>3</v>
      </c>
      <c r="D262" t="s">
        <v>360</v>
      </c>
      <c r="G262">
        <v>115</v>
      </c>
    </row>
    <row r="263" spans="3:7" ht="12.75">
      <c r="C263">
        <v>4</v>
      </c>
      <c r="D263" t="s">
        <v>361</v>
      </c>
      <c r="G263">
        <v>13</v>
      </c>
    </row>
    <row r="264" spans="3:7" ht="12.75">
      <c r="C264">
        <v>5</v>
      </c>
      <c r="D264" t="s">
        <v>362</v>
      </c>
      <c r="G264">
        <v>179</v>
      </c>
    </row>
    <row r="265" spans="3:7" ht="12.75">
      <c r="C265">
        <v>6</v>
      </c>
      <c r="D265" t="s">
        <v>364</v>
      </c>
      <c r="G265">
        <v>94</v>
      </c>
    </row>
    <row r="266" spans="3:7" ht="12.75">
      <c r="C266">
        <v>7</v>
      </c>
      <c r="D266" t="s">
        <v>366</v>
      </c>
      <c r="G266">
        <v>69</v>
      </c>
    </row>
    <row r="267" spans="3:7" ht="12.75">
      <c r="C267">
        <v>8</v>
      </c>
      <c r="D267" t="s">
        <v>367</v>
      </c>
      <c r="G267">
        <v>26</v>
      </c>
    </row>
    <row r="268" ht="12.75">
      <c r="D268" t="s">
        <v>368</v>
      </c>
    </row>
    <row r="269" spans="3:7" ht="12.75">
      <c r="C269">
        <v>9</v>
      </c>
      <c r="D269" t="s">
        <v>369</v>
      </c>
      <c r="G269">
        <v>73</v>
      </c>
    </row>
    <row r="270" ht="12.75">
      <c r="D270" t="s">
        <v>370</v>
      </c>
    </row>
    <row r="271" spans="3:7" ht="12.75">
      <c r="C271">
        <v>10</v>
      </c>
      <c r="D271" t="s">
        <v>371</v>
      </c>
      <c r="G271">
        <v>96</v>
      </c>
    </row>
    <row r="272" ht="12.75">
      <c r="D272" t="s">
        <v>372</v>
      </c>
    </row>
    <row r="273" ht="12.75">
      <c r="D273" t="s">
        <v>373</v>
      </c>
    </row>
    <row r="274" spans="3:7" ht="12.75">
      <c r="C274">
        <v>11</v>
      </c>
      <c r="D274" t="s">
        <v>374</v>
      </c>
      <c r="G274">
        <v>41</v>
      </c>
    </row>
    <row r="275" ht="12.75">
      <c r="D275" t="s">
        <v>375</v>
      </c>
    </row>
    <row r="276" spans="3:7" ht="12.75">
      <c r="C276">
        <v>12</v>
      </c>
      <c r="D276" t="s">
        <v>376</v>
      </c>
      <c r="G276">
        <v>108</v>
      </c>
    </row>
    <row r="277" ht="12.75">
      <c r="D277" t="s">
        <v>377</v>
      </c>
    </row>
    <row r="278" spans="3:7" ht="12.75">
      <c r="C278">
        <v>13</v>
      </c>
      <c r="D278" t="s">
        <v>378</v>
      </c>
      <c r="G278">
        <v>7</v>
      </c>
    </row>
    <row r="279" spans="3:7" ht="12.75">
      <c r="C279">
        <v>14</v>
      </c>
      <c r="D279" t="s">
        <v>380</v>
      </c>
      <c r="G279">
        <v>25</v>
      </c>
    </row>
    <row r="280" spans="3:7" ht="12.75">
      <c r="C280">
        <v>15</v>
      </c>
      <c r="D280" t="s">
        <v>382</v>
      </c>
      <c r="G280">
        <v>69</v>
      </c>
    </row>
    <row r="281" spans="3:7" ht="12.75">
      <c r="C281">
        <v>16</v>
      </c>
      <c r="D281" t="s">
        <v>384</v>
      </c>
      <c r="G281">
        <v>5</v>
      </c>
    </row>
    <row r="282" spans="3:7" ht="12.75">
      <c r="C282">
        <v>17</v>
      </c>
      <c r="D282" t="s">
        <v>385</v>
      </c>
      <c r="G282">
        <v>15</v>
      </c>
    </row>
    <row r="283" spans="3:7" ht="12.75">
      <c r="C283">
        <v>18</v>
      </c>
      <c r="D283" t="s">
        <v>387</v>
      </c>
      <c r="G283">
        <v>36</v>
      </c>
    </row>
    <row r="284" spans="4:9" ht="12.75">
      <c r="D284" t="s">
        <v>388</v>
      </c>
      <c r="I284" t="s">
        <v>275</v>
      </c>
    </row>
    <row r="285" spans="3:7" ht="12.75">
      <c r="C285">
        <v>19</v>
      </c>
      <c r="D285" t="s">
        <v>389</v>
      </c>
      <c r="G285">
        <v>52</v>
      </c>
    </row>
    <row r="286" spans="3:7" ht="12.75">
      <c r="C286">
        <v>20</v>
      </c>
      <c r="D286" t="s">
        <v>390</v>
      </c>
      <c r="G286">
        <v>4</v>
      </c>
    </row>
    <row r="287" spans="3:7" ht="12.75">
      <c r="C287">
        <v>21</v>
      </c>
      <c r="D287" t="s">
        <v>391</v>
      </c>
      <c r="G287">
        <v>18</v>
      </c>
    </row>
    <row r="288" spans="3:7" ht="12.75">
      <c r="C288">
        <v>22</v>
      </c>
      <c r="D288" t="s">
        <v>392</v>
      </c>
      <c r="G288">
        <v>53</v>
      </c>
    </row>
    <row r="289" spans="3:7" ht="12.75">
      <c r="C289">
        <v>23</v>
      </c>
      <c r="D289" t="s">
        <v>393</v>
      </c>
      <c r="G289">
        <v>8</v>
      </c>
    </row>
    <row r="290" spans="3:9" ht="12.75">
      <c r="C290">
        <v>24</v>
      </c>
      <c r="D290" t="s">
        <v>394</v>
      </c>
      <c r="G290">
        <v>24</v>
      </c>
      <c r="H290" t="s">
        <v>22</v>
      </c>
      <c r="I290" t="s">
        <v>23</v>
      </c>
    </row>
    <row r="291" spans="3:7" ht="12.75">
      <c r="C291">
        <v>25</v>
      </c>
      <c r="D291" t="s">
        <v>395</v>
      </c>
      <c r="G291">
        <v>60</v>
      </c>
    </row>
    <row r="292" spans="3:9" ht="12.75">
      <c r="C292">
        <v>26</v>
      </c>
      <c r="D292" t="s">
        <v>396</v>
      </c>
      <c r="G292">
        <v>9</v>
      </c>
      <c r="H292">
        <v>317</v>
      </c>
      <c r="I292">
        <v>3786</v>
      </c>
    </row>
    <row r="293" spans="3:9" ht="12.75">
      <c r="C293">
        <v>27</v>
      </c>
      <c r="D293" t="s">
        <v>397</v>
      </c>
      <c r="G293">
        <v>36</v>
      </c>
      <c r="H293">
        <v>0</v>
      </c>
      <c r="I293">
        <v>1662</v>
      </c>
    </row>
    <row r="294" spans="3:9" ht="12.75">
      <c r="C294">
        <v>28</v>
      </c>
      <c r="D294" t="s">
        <v>398</v>
      </c>
      <c r="G294">
        <v>36</v>
      </c>
      <c r="H294">
        <v>0</v>
      </c>
      <c r="I294">
        <v>43.9</v>
      </c>
    </row>
    <row r="295" spans="3:7" ht="12.75">
      <c r="C295">
        <v>29</v>
      </c>
      <c r="D295" t="s">
        <v>399</v>
      </c>
      <c r="G295">
        <v>65</v>
      </c>
    </row>
    <row r="296" spans="3:7" ht="12.75">
      <c r="C296">
        <v>30</v>
      </c>
      <c r="D296" t="s">
        <v>400</v>
      </c>
      <c r="G296">
        <v>24</v>
      </c>
    </row>
    <row r="297" spans="3:7" ht="12.75">
      <c r="C297">
        <v>31</v>
      </c>
      <c r="D297" t="s">
        <v>401</v>
      </c>
      <c r="G297">
        <v>30</v>
      </c>
    </row>
    <row r="298" spans="5:7" ht="12.75">
      <c r="E298" t="s">
        <v>23</v>
      </c>
      <c r="G298">
        <v>1662</v>
      </c>
    </row>
    <row r="299" ht="12.75">
      <c r="H299" t="s">
        <v>95</v>
      </c>
    </row>
    <row r="300" spans="1:2" ht="12.75">
      <c r="A300" t="s">
        <v>152</v>
      </c>
      <c r="B300" t="s">
        <v>402</v>
      </c>
    </row>
    <row r="301" spans="1:8" ht="12.75">
      <c r="A301" t="s">
        <v>77</v>
      </c>
      <c r="B301" t="s">
        <v>9</v>
      </c>
      <c r="D301" t="s">
        <v>153</v>
      </c>
      <c r="E301" t="s">
        <v>78</v>
      </c>
      <c r="F301" t="s">
        <v>10</v>
      </c>
      <c r="G301" t="s">
        <v>79</v>
      </c>
      <c r="H301" t="s">
        <v>356</v>
      </c>
    </row>
    <row r="302" spans="4:8" ht="12.75">
      <c r="D302" t="s">
        <v>403</v>
      </c>
      <c r="G302" t="s">
        <v>80</v>
      </c>
      <c r="H302" t="s">
        <v>357</v>
      </c>
    </row>
    <row r="303" ht="12.75">
      <c r="G303" t="s">
        <v>81</v>
      </c>
    </row>
    <row r="304" spans="1:8" ht="12.75">
      <c r="A304">
        <v>1</v>
      </c>
      <c r="B304" t="s">
        <v>404</v>
      </c>
      <c r="D304">
        <v>54</v>
      </c>
      <c r="E304">
        <v>24</v>
      </c>
      <c r="F304">
        <v>30</v>
      </c>
      <c r="G304">
        <v>32.3</v>
      </c>
      <c r="H304" t="s">
        <v>359</v>
      </c>
    </row>
    <row r="305" spans="2:8" ht="12.75">
      <c r="B305" t="s">
        <v>405</v>
      </c>
      <c r="H305" t="s">
        <v>99</v>
      </c>
    </row>
    <row r="306" spans="1:8" ht="12.75">
      <c r="A306">
        <v>2</v>
      </c>
      <c r="B306" t="s">
        <v>406</v>
      </c>
      <c r="D306">
        <v>44</v>
      </c>
      <c r="F306">
        <v>44</v>
      </c>
      <c r="G306">
        <v>32.35</v>
      </c>
      <c r="H306" t="s">
        <v>99</v>
      </c>
    </row>
    <row r="307" spans="1:8" ht="12.75">
      <c r="A307">
        <v>3</v>
      </c>
      <c r="B307" t="s">
        <v>408</v>
      </c>
      <c r="D307">
        <v>34</v>
      </c>
      <c r="E307">
        <v>0</v>
      </c>
      <c r="F307">
        <v>34</v>
      </c>
      <c r="G307">
        <v>14.78</v>
      </c>
      <c r="H307" t="s">
        <v>363</v>
      </c>
    </row>
    <row r="308" spans="1:8" ht="12.75">
      <c r="A308">
        <v>4</v>
      </c>
      <c r="B308" t="s">
        <v>409</v>
      </c>
      <c r="D308">
        <v>52</v>
      </c>
      <c r="E308">
        <v>0</v>
      </c>
      <c r="F308">
        <v>52</v>
      </c>
      <c r="G308">
        <v>37.45</v>
      </c>
      <c r="H308" t="s">
        <v>365</v>
      </c>
    </row>
    <row r="309" spans="1:8" ht="12.75">
      <c r="A309">
        <v>5</v>
      </c>
      <c r="B309" t="s">
        <v>411</v>
      </c>
      <c r="D309">
        <v>128</v>
      </c>
      <c r="E309">
        <v>0</v>
      </c>
      <c r="F309">
        <v>128</v>
      </c>
      <c r="G309">
        <v>72.12</v>
      </c>
      <c r="H309" t="s">
        <v>365</v>
      </c>
    </row>
    <row r="310" ht="12.75">
      <c r="H310" t="s">
        <v>365</v>
      </c>
    </row>
    <row r="311" spans="3:6" ht="12.75">
      <c r="C311" t="s">
        <v>23</v>
      </c>
      <c r="D311">
        <v>312</v>
      </c>
      <c r="E311">
        <v>24</v>
      </c>
      <c r="F311">
        <v>288</v>
      </c>
    </row>
    <row r="312" ht="12.75">
      <c r="H312" t="s">
        <v>210</v>
      </c>
    </row>
    <row r="313" ht="12.75">
      <c r="B313" t="s">
        <v>412</v>
      </c>
    </row>
    <row r="314" spans="2:8" ht="12.75">
      <c r="B314" t="s">
        <v>413</v>
      </c>
      <c r="H314" t="s">
        <v>101</v>
      </c>
    </row>
    <row r="316" spans="1:2" ht="12.75">
      <c r="A316" t="s">
        <v>133</v>
      </c>
      <c r="B316" t="s">
        <v>414</v>
      </c>
    </row>
    <row r="317" spans="2:8" ht="12.75">
      <c r="B317" t="s">
        <v>415</v>
      </c>
      <c r="H317" t="s">
        <v>101</v>
      </c>
    </row>
    <row r="319" ht="12.75">
      <c r="H319" t="s">
        <v>103</v>
      </c>
    </row>
    <row r="320" spans="2:3" ht="12.75">
      <c r="B320" t="s">
        <v>88</v>
      </c>
      <c r="C320" t="s">
        <v>89</v>
      </c>
    </row>
    <row r="321" ht="12.75">
      <c r="H321" t="s">
        <v>379</v>
      </c>
    </row>
    <row r="322" spans="3:8" ht="12.75">
      <c r="C322" t="s">
        <v>135</v>
      </c>
      <c r="D322" t="s">
        <v>90</v>
      </c>
      <c r="H322" t="s">
        <v>381</v>
      </c>
    </row>
    <row r="323" spans="3:8" ht="12.75">
      <c r="C323" t="s">
        <v>13</v>
      </c>
      <c r="D323">
        <v>30.2</v>
      </c>
      <c r="H323" t="s">
        <v>383</v>
      </c>
    </row>
    <row r="324" spans="3:8" ht="12.75">
      <c r="C324" t="s">
        <v>14</v>
      </c>
      <c r="D324">
        <v>27.94</v>
      </c>
      <c r="H324" t="s">
        <v>286</v>
      </c>
    </row>
    <row r="325" spans="3:8" ht="12.75">
      <c r="C325" t="s">
        <v>15</v>
      </c>
      <c r="D325">
        <v>60</v>
      </c>
      <c r="H325" t="s">
        <v>386</v>
      </c>
    </row>
    <row r="326" spans="3:8" ht="12.75">
      <c r="C326" t="s">
        <v>16</v>
      </c>
      <c r="D326">
        <v>38</v>
      </c>
      <c r="H326" t="s">
        <v>31</v>
      </c>
    </row>
    <row r="327" spans="3:4" ht="12.75">
      <c r="C327" t="s">
        <v>17</v>
      </c>
      <c r="D327">
        <v>33</v>
      </c>
    </row>
    <row r="328" spans="3:8" ht="12.75">
      <c r="C328" t="s">
        <v>18</v>
      </c>
      <c r="D328" t="s">
        <v>416</v>
      </c>
      <c r="H328" t="s">
        <v>45</v>
      </c>
    </row>
    <row r="329" ht="12.75">
      <c r="H329" t="s">
        <v>45</v>
      </c>
    </row>
    <row r="330" ht="12.75">
      <c r="H330" t="s">
        <v>45</v>
      </c>
    </row>
    <row r="333" ht="12.75">
      <c r="H333" t="s">
        <v>65</v>
      </c>
    </row>
    <row r="334" ht="12.75">
      <c r="H334" t="s">
        <v>65</v>
      </c>
    </row>
    <row r="335" ht="12.75">
      <c r="H335" t="s">
        <v>65</v>
      </c>
    </row>
    <row r="336" ht="12.75">
      <c r="H336" t="s">
        <v>69</v>
      </c>
    </row>
    <row r="337" ht="12.75">
      <c r="H337" t="s">
        <v>69</v>
      </c>
    </row>
    <row r="338" ht="12.75">
      <c r="H338" t="s">
        <v>69</v>
      </c>
    </row>
    <row r="339" ht="12.75">
      <c r="H339" t="s">
        <v>69</v>
      </c>
    </row>
    <row r="340" ht="12.75">
      <c r="H340" t="s">
        <v>17</v>
      </c>
    </row>
    <row r="344" ht="12.75">
      <c r="H344" t="s">
        <v>11</v>
      </c>
    </row>
    <row r="347" ht="12.75">
      <c r="H347" s="3" t="s">
        <v>332</v>
      </c>
    </row>
    <row r="349" ht="12.75">
      <c r="H349" t="s">
        <v>407</v>
      </c>
    </row>
    <row r="350" ht="12.75">
      <c r="H350" t="s">
        <v>407</v>
      </c>
    </row>
    <row r="351" ht="12.75">
      <c r="H351" t="s">
        <v>410</v>
      </c>
    </row>
    <row r="352" ht="12.75">
      <c r="H352" t="s">
        <v>332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1578"/>
  <sheetViews>
    <sheetView workbookViewId="0" topLeftCell="A1">
      <selection activeCell="C4" sqref="C4"/>
    </sheetView>
  </sheetViews>
  <sheetFormatPr defaultColWidth="21.00390625" defaultRowHeight="12.75"/>
  <cols>
    <col min="1" max="1" width="5.421875" style="0" customWidth="1"/>
    <col min="2" max="2" width="9.00390625" style="0" customWidth="1"/>
    <col min="3" max="3" width="11.57421875" style="0" customWidth="1"/>
    <col min="4" max="4" width="13.140625" style="0" customWidth="1"/>
    <col min="5" max="5" width="12.140625" style="0" customWidth="1"/>
    <col min="6" max="6" width="14.7109375" style="0" customWidth="1"/>
    <col min="7" max="7" width="16.00390625" style="0" customWidth="1"/>
    <col min="8" max="8" width="17.7109375" style="0" customWidth="1"/>
    <col min="9" max="9" width="12.8515625" style="0" customWidth="1"/>
    <col min="10" max="10" width="16.421875" style="0" customWidth="1"/>
    <col min="11" max="11" width="13.140625" style="0" customWidth="1"/>
    <col min="12" max="12" width="13.7109375" style="0" customWidth="1"/>
    <col min="13" max="13" width="16.421875" style="0" customWidth="1"/>
    <col min="14" max="14" width="13.57421875" style="0" customWidth="1"/>
    <col min="15" max="15" width="14.140625" style="0" customWidth="1"/>
    <col min="16" max="16" width="13.57421875" style="0" customWidth="1"/>
    <col min="17" max="17" width="14.7109375" style="0" customWidth="1"/>
    <col min="18" max="18" width="14.28125" style="0" customWidth="1"/>
    <col min="19" max="19" width="14.57421875" style="0" customWidth="1"/>
    <col min="20" max="20" width="10.421875" style="0" customWidth="1"/>
    <col min="21" max="21" width="11.8515625" style="0" customWidth="1"/>
    <col min="22" max="22" width="12.421875" style="0" customWidth="1"/>
    <col min="23" max="23" width="12.8515625" style="0" customWidth="1"/>
    <col min="24" max="24" width="14.421875" style="0" customWidth="1"/>
    <col min="25" max="28" width="14.7109375" style="0" customWidth="1"/>
    <col min="29" max="29" width="16.421875" style="0" customWidth="1"/>
    <col min="30" max="34" width="14.7109375" style="0" customWidth="1"/>
    <col min="35" max="35" width="26.7109375" style="0" customWidth="1"/>
    <col min="36" max="16384" width="14.7109375" style="0" customWidth="1"/>
  </cols>
  <sheetData>
    <row r="1" spans="1:8" ht="12.75">
      <c r="A1" s="6"/>
      <c r="H1" s="7" t="s">
        <v>417</v>
      </c>
    </row>
    <row r="2" spans="1:15" ht="12.75">
      <c r="A2" s="6"/>
      <c r="B2" s="8" t="s">
        <v>418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9" t="s">
        <v>419</v>
      </c>
      <c r="C3" s="9" t="s">
        <v>419</v>
      </c>
      <c r="D3" s="9" t="s">
        <v>419</v>
      </c>
      <c r="E3" s="9" t="s">
        <v>419</v>
      </c>
      <c r="F3" s="9" t="s">
        <v>419</v>
      </c>
      <c r="G3" s="9" t="s">
        <v>419</v>
      </c>
      <c r="H3" s="9" t="s">
        <v>419</v>
      </c>
      <c r="I3" s="9" t="s">
        <v>419</v>
      </c>
      <c r="J3" s="9" t="s">
        <v>419</v>
      </c>
      <c r="K3" s="6"/>
      <c r="L3" s="6"/>
      <c r="M3" s="6"/>
      <c r="N3" s="6"/>
      <c r="O3" s="6"/>
    </row>
    <row r="4" spans="1:15" ht="12.75">
      <c r="A4" s="6"/>
      <c r="B4" s="8" t="s">
        <v>420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9" t="s">
        <v>419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6"/>
      <c r="B6" s="9" t="s">
        <v>419</v>
      </c>
      <c r="C6" s="9" t="s">
        <v>419</v>
      </c>
      <c r="D6" s="9" t="s">
        <v>419</v>
      </c>
      <c r="E6" s="9" t="s">
        <v>419</v>
      </c>
      <c r="F6" s="9" t="s">
        <v>419</v>
      </c>
      <c r="G6" s="9" t="s">
        <v>419</v>
      </c>
      <c r="H6" s="9" t="s">
        <v>419</v>
      </c>
      <c r="I6" s="9" t="s">
        <v>419</v>
      </c>
      <c r="J6" s="9" t="s">
        <v>419</v>
      </c>
      <c r="K6" s="6"/>
      <c r="L6" s="6"/>
      <c r="M6" s="6"/>
      <c r="N6" s="6"/>
      <c r="O6" s="6"/>
    </row>
    <row r="7" spans="1:15" ht="12.75">
      <c r="A7" s="6"/>
      <c r="B7" s="8" t="s">
        <v>421</v>
      </c>
      <c r="C7" s="6"/>
      <c r="D7" s="6"/>
      <c r="E7" s="6"/>
      <c r="F7" s="8" t="s">
        <v>422</v>
      </c>
      <c r="G7" s="10" t="s">
        <v>423</v>
      </c>
      <c r="H7" s="6"/>
      <c r="I7" s="6"/>
      <c r="J7" s="8" t="s">
        <v>424</v>
      </c>
      <c r="K7" s="6"/>
      <c r="L7" s="6"/>
      <c r="M7" s="6"/>
      <c r="N7" s="6"/>
      <c r="O7" s="6"/>
    </row>
    <row r="8" spans="1:15" ht="12.75">
      <c r="A8" s="6"/>
      <c r="B8" s="6"/>
      <c r="C8" s="6"/>
      <c r="D8" s="6"/>
      <c r="E8" s="6"/>
      <c r="F8" s="6"/>
      <c r="G8" s="11" t="s">
        <v>425</v>
      </c>
      <c r="H8" s="11" t="s">
        <v>426</v>
      </c>
      <c r="I8" s="6"/>
      <c r="J8" s="8" t="s">
        <v>427</v>
      </c>
      <c r="K8" s="6"/>
      <c r="L8" s="6"/>
      <c r="M8" s="6"/>
      <c r="N8" s="6"/>
      <c r="O8" s="6"/>
    </row>
    <row r="9" spans="1:15" ht="12.75">
      <c r="A9" s="6"/>
      <c r="B9" s="9" t="s">
        <v>419</v>
      </c>
      <c r="C9" s="9" t="s">
        <v>419</v>
      </c>
      <c r="D9" s="9" t="s">
        <v>419</v>
      </c>
      <c r="E9" s="9" t="s">
        <v>419</v>
      </c>
      <c r="F9" s="9" t="s">
        <v>419</v>
      </c>
      <c r="G9" s="9" t="s">
        <v>419</v>
      </c>
      <c r="H9" s="9" t="s">
        <v>419</v>
      </c>
      <c r="I9" s="9" t="s">
        <v>419</v>
      </c>
      <c r="J9" s="9" t="s">
        <v>419</v>
      </c>
      <c r="K9" s="6"/>
      <c r="L9" s="6"/>
      <c r="M9" s="6"/>
      <c r="N9" s="6"/>
      <c r="O9" s="6"/>
    </row>
    <row r="10" spans="1:15" ht="12.75">
      <c r="A10" s="6"/>
      <c r="B10" s="8" t="s">
        <v>428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/>
      <c r="B11" s="6"/>
      <c r="C11" s="6"/>
      <c r="D11" s="6"/>
      <c r="E11" s="6"/>
      <c r="F11" s="6"/>
      <c r="G11" s="12"/>
      <c r="H11" s="12"/>
      <c r="I11" s="6"/>
      <c r="J11" s="6"/>
      <c r="K11" s="6"/>
      <c r="L11" s="6"/>
      <c r="M11" s="6"/>
      <c r="N11" s="6"/>
      <c r="O11" s="6"/>
    </row>
    <row r="12" spans="1:15" ht="12.75">
      <c r="A12" s="6"/>
      <c r="B12" s="8" t="s">
        <v>429</v>
      </c>
      <c r="C12" s="6"/>
      <c r="D12" s="8"/>
      <c r="E12" s="6"/>
      <c r="F12" s="8" t="s">
        <v>430</v>
      </c>
      <c r="G12" s="12">
        <v>180</v>
      </c>
      <c r="H12" s="12">
        <v>179</v>
      </c>
      <c r="I12" s="8"/>
      <c r="J12" s="6"/>
      <c r="K12" s="6"/>
      <c r="L12" s="6"/>
      <c r="M12" s="6"/>
      <c r="N12" s="6"/>
      <c r="O12" s="6"/>
    </row>
    <row r="13" spans="1:15" ht="12.75">
      <c r="A13" s="6"/>
      <c r="B13" s="8" t="s">
        <v>431</v>
      </c>
      <c r="C13" s="6"/>
      <c r="D13" s="8"/>
      <c r="E13" s="6"/>
      <c r="F13" s="6" t="s">
        <v>432</v>
      </c>
      <c r="G13" s="12"/>
      <c r="H13" s="12"/>
      <c r="I13" s="6"/>
      <c r="J13" s="6"/>
      <c r="K13" s="6"/>
      <c r="L13" s="6"/>
      <c r="M13" s="6"/>
      <c r="N13" s="6"/>
      <c r="O13" s="6"/>
    </row>
    <row r="14" spans="1:15" ht="12.75">
      <c r="A14" s="6"/>
      <c r="B14" s="8" t="s">
        <v>433</v>
      </c>
      <c r="C14" s="6"/>
      <c r="D14" s="6"/>
      <c r="E14" s="6"/>
      <c r="F14" s="8" t="s">
        <v>430</v>
      </c>
      <c r="G14" s="11" t="s">
        <v>434</v>
      </c>
      <c r="H14" s="12">
        <v>40</v>
      </c>
      <c r="I14" s="8"/>
      <c r="J14" s="6"/>
      <c r="K14" s="6"/>
      <c r="L14" s="6"/>
      <c r="M14" s="6"/>
      <c r="N14" s="6"/>
      <c r="O14" s="6"/>
    </row>
    <row r="15" spans="1:15" ht="12.75">
      <c r="A15" s="6"/>
      <c r="B15" s="8" t="s">
        <v>431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8" t="s">
        <v>435</v>
      </c>
      <c r="C16" s="6"/>
      <c r="D16" s="6"/>
      <c r="E16" s="6"/>
      <c r="F16" s="8" t="s">
        <v>436</v>
      </c>
      <c r="G16" s="11"/>
      <c r="H16" s="10">
        <v>26</v>
      </c>
      <c r="I16" s="6"/>
      <c r="J16" s="6"/>
      <c r="K16" s="6"/>
      <c r="L16" s="6"/>
      <c r="M16" s="6"/>
      <c r="N16" s="6"/>
      <c r="O16" s="6"/>
    </row>
    <row r="17" spans="1:15" ht="12.75">
      <c r="A17" s="6"/>
      <c r="B17" s="8" t="s">
        <v>431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8" t="s">
        <v>437</v>
      </c>
      <c r="C18" s="6"/>
      <c r="D18" s="6"/>
      <c r="E18" s="6"/>
      <c r="F18" s="6"/>
      <c r="G18" s="6"/>
      <c r="H18" s="8" t="s">
        <v>438</v>
      </c>
      <c r="I18" s="6"/>
      <c r="J18" s="6"/>
      <c r="K18" s="6"/>
      <c r="L18" s="6"/>
      <c r="M18" s="6"/>
      <c r="N18" s="6"/>
      <c r="O18" s="6"/>
    </row>
    <row r="19" spans="1:15" ht="12.75">
      <c r="A19" s="6"/>
      <c r="B19" s="9" t="s">
        <v>419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8" t="s">
        <v>439</v>
      </c>
      <c r="C20" s="6"/>
      <c r="D20" s="6"/>
      <c r="E20" s="6"/>
      <c r="F20" s="8" t="s">
        <v>440</v>
      </c>
      <c r="G20" s="11" t="s">
        <v>434</v>
      </c>
      <c r="H20" s="12">
        <v>6500</v>
      </c>
      <c r="I20" s="8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8" t="s">
        <v>441</v>
      </c>
      <c r="C22" s="6"/>
      <c r="D22" s="6"/>
      <c r="E22" s="6"/>
      <c r="F22" s="8" t="s">
        <v>442</v>
      </c>
      <c r="G22" s="12">
        <v>1.71</v>
      </c>
      <c r="H22" s="11" t="s">
        <v>434</v>
      </c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8" t="s">
        <v>443</v>
      </c>
      <c r="C24" s="6"/>
      <c r="D24" s="6"/>
      <c r="E24" s="6"/>
      <c r="F24" s="8" t="s">
        <v>444</v>
      </c>
      <c r="G24" s="13">
        <v>33</v>
      </c>
      <c r="H24" s="13">
        <v>33</v>
      </c>
      <c r="I24" s="8"/>
      <c r="J24" s="6"/>
      <c r="K24" s="6"/>
      <c r="L24" s="6"/>
      <c r="M24" s="6"/>
      <c r="N24" s="6"/>
      <c r="O24" s="6"/>
    </row>
    <row r="25" spans="1:15" ht="12.75">
      <c r="A25" s="6"/>
      <c r="B25" s="8" t="s">
        <v>445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9" t="s">
        <v>419</v>
      </c>
      <c r="C26" s="9" t="s">
        <v>419</v>
      </c>
      <c r="D26" s="9" t="s">
        <v>419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8" t="s">
        <v>446</v>
      </c>
      <c r="C27" s="6"/>
      <c r="D27" s="6"/>
      <c r="E27" s="6"/>
      <c r="F27" s="8" t="s">
        <v>447</v>
      </c>
      <c r="G27" s="12">
        <v>32.76</v>
      </c>
      <c r="H27" s="11" t="s">
        <v>434</v>
      </c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8" t="s">
        <v>448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8" t="s">
        <v>449</v>
      </c>
      <c r="C30" s="6"/>
      <c r="D30" s="6"/>
      <c r="E30" s="6"/>
      <c r="F30" s="8" t="s">
        <v>450</v>
      </c>
      <c r="G30" s="12">
        <v>8.91</v>
      </c>
      <c r="H30" s="12">
        <v>12.49</v>
      </c>
      <c r="I30" s="6"/>
      <c r="J30" s="6"/>
      <c r="K30" s="6"/>
      <c r="L30" s="6"/>
      <c r="M30" s="6"/>
      <c r="N30" s="6"/>
      <c r="O30" s="6"/>
    </row>
    <row r="31" spans="1:15" ht="12.75">
      <c r="A31" s="6"/>
      <c r="B31" s="8" t="s">
        <v>451</v>
      </c>
      <c r="C31" s="6"/>
      <c r="D31" s="6"/>
      <c r="E31" s="6"/>
      <c r="F31" s="8" t="s">
        <v>452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8" t="s">
        <v>453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9" t="s">
        <v>419</v>
      </c>
      <c r="C33" s="9" t="s">
        <v>419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8" t="s">
        <v>454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9" t="s">
        <v>419</v>
      </c>
      <c r="C35" s="9" t="s">
        <v>419</v>
      </c>
      <c r="D35" s="9" t="s">
        <v>419</v>
      </c>
      <c r="E35" s="6"/>
      <c r="F35" s="6"/>
      <c r="G35" s="10" t="s">
        <v>455</v>
      </c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8" t="s">
        <v>456</v>
      </c>
      <c r="C36" s="6"/>
      <c r="D36" s="6"/>
      <c r="E36" s="6"/>
      <c r="F36" s="8" t="s">
        <v>457</v>
      </c>
      <c r="G36" s="12">
        <v>8.75</v>
      </c>
      <c r="H36" s="12">
        <v>3.29</v>
      </c>
      <c r="I36" s="8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8" t="s">
        <v>452</v>
      </c>
      <c r="G37" s="10" t="s">
        <v>455</v>
      </c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8" t="s">
        <v>458</v>
      </c>
      <c r="C38" s="6"/>
      <c r="D38" s="6"/>
      <c r="E38" s="6"/>
      <c r="F38" s="8" t="s">
        <v>457</v>
      </c>
      <c r="G38" s="12">
        <v>19.8</v>
      </c>
      <c r="H38" s="12">
        <v>5.22</v>
      </c>
      <c r="I38" s="8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8" t="s">
        <v>452</v>
      </c>
      <c r="G39" s="10" t="s">
        <v>455</v>
      </c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8" t="s">
        <v>459</v>
      </c>
      <c r="C40" s="6"/>
      <c r="D40" s="6"/>
      <c r="E40" s="6"/>
      <c r="F40" s="8" t="s">
        <v>457</v>
      </c>
      <c r="G40" s="12">
        <v>19.8</v>
      </c>
      <c r="H40" s="12">
        <v>5.22</v>
      </c>
      <c r="I40" s="8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8" t="s">
        <v>452</v>
      </c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8" t="s">
        <v>460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8" t="s">
        <v>438</v>
      </c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8" t="s">
        <v>456</v>
      </c>
      <c r="C45" s="6"/>
      <c r="D45" s="6"/>
      <c r="E45" s="6"/>
      <c r="F45" s="8" t="s">
        <v>461</v>
      </c>
      <c r="G45" s="14">
        <v>1.4</v>
      </c>
      <c r="H45" s="15">
        <v>11.2</v>
      </c>
      <c r="I45" s="8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8" t="s">
        <v>462</v>
      </c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8" t="s">
        <v>463</v>
      </c>
      <c r="C47" s="6"/>
      <c r="D47" s="6"/>
      <c r="E47" s="6"/>
      <c r="F47" s="8" t="s">
        <v>461</v>
      </c>
      <c r="G47" s="15">
        <v>0.8</v>
      </c>
      <c r="H47" s="15">
        <v>6.9</v>
      </c>
      <c r="I47" s="8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8" t="s">
        <v>462</v>
      </c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8" t="s">
        <v>464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8" t="s">
        <v>465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8" t="s">
        <v>466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8" t="s">
        <v>467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8" t="s">
        <v>468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9" t="s">
        <v>419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8" t="s">
        <v>469</v>
      </c>
      <c r="B56" s="12">
        <v>268</v>
      </c>
      <c r="C56" s="8" t="s">
        <v>470</v>
      </c>
      <c r="D56" s="8" t="s">
        <v>471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6"/>
      <c r="C57" s="6" t="s">
        <v>438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6"/>
      <c r="B58" s="8" t="s">
        <v>472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6"/>
      <c r="B59" s="9" t="s">
        <v>419</v>
      </c>
      <c r="C59" s="9" t="s">
        <v>419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6"/>
      <c r="B60" s="6"/>
      <c r="C60" s="8" t="s">
        <v>425</v>
      </c>
      <c r="D60" s="8" t="s">
        <v>473</v>
      </c>
      <c r="E60" s="8" t="s">
        <v>426</v>
      </c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6"/>
      <c r="B61" s="6"/>
      <c r="C61" s="9" t="s">
        <v>419</v>
      </c>
      <c r="D61" s="6"/>
      <c r="E61" s="9" t="s">
        <v>419</v>
      </c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6"/>
      <c r="B62" s="8" t="s">
        <v>474</v>
      </c>
      <c r="C62" s="12">
        <f>19542.02+135.63+104.47</f>
        <v>19782.120000000003</v>
      </c>
      <c r="D62" s="12">
        <f>G16*C76</f>
        <v>0</v>
      </c>
      <c r="E62" s="12">
        <f>H16*E76</f>
        <v>1924</v>
      </c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>
      <c r="A64" s="6"/>
      <c r="B64" s="8" t="s">
        <v>475</v>
      </c>
      <c r="C64" s="12">
        <v>665.86</v>
      </c>
      <c r="D64" s="6"/>
      <c r="E64" s="12">
        <v>0</v>
      </c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6"/>
      <c r="B66" s="8" t="s">
        <v>476</v>
      </c>
      <c r="C66" s="12">
        <f>C62-C64</f>
        <v>19116.260000000002</v>
      </c>
      <c r="D66" s="6"/>
      <c r="E66" s="12">
        <f>E62-E64</f>
        <v>1924</v>
      </c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6"/>
      <c r="B68" s="8" t="s">
        <v>477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9" t="s">
        <v>419</v>
      </c>
      <c r="C69" s="9" t="s">
        <v>419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8" t="s">
        <v>425</v>
      </c>
      <c r="D70" s="6"/>
      <c r="E70" s="8" t="s">
        <v>426</v>
      </c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9" t="s">
        <v>419</v>
      </c>
      <c r="D71" s="6"/>
      <c r="E71" s="9" t="s">
        <v>419</v>
      </c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8" t="s">
        <v>478</v>
      </c>
      <c r="C72" s="12">
        <v>43</v>
      </c>
      <c r="D72" s="6"/>
      <c r="E72" s="12">
        <v>68</v>
      </c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8" t="s">
        <v>479</v>
      </c>
      <c r="C74" s="12">
        <v>6</v>
      </c>
      <c r="D74" s="6"/>
      <c r="E74" s="12">
        <v>6</v>
      </c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>
      <c r="A76" s="6"/>
      <c r="B76" s="8" t="s">
        <v>23</v>
      </c>
      <c r="C76" s="12">
        <f>C72+C74</f>
        <v>49</v>
      </c>
      <c r="D76" s="6"/>
      <c r="E76" s="12">
        <f>E72+E74</f>
        <v>74</v>
      </c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>
      <c r="A78" s="6"/>
      <c r="B78" s="8" t="s">
        <v>480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>
      <c r="A79" s="6"/>
      <c r="B79" s="9" t="s">
        <v>419</v>
      </c>
      <c r="C79" s="9" t="s">
        <v>419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>
      <c r="A80" s="6"/>
      <c r="B80" s="6"/>
      <c r="C80" s="8" t="s">
        <v>425</v>
      </c>
      <c r="D80" s="6"/>
      <c r="E80" s="8" t="s">
        <v>426</v>
      </c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>
      <c r="A81" s="6"/>
      <c r="B81" s="6"/>
      <c r="C81" s="9" t="s">
        <v>419</v>
      </c>
      <c r="D81" s="6"/>
      <c r="E81" s="9" t="s">
        <v>419</v>
      </c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6"/>
      <c r="B82" s="8" t="s">
        <v>481</v>
      </c>
      <c r="C82" s="12">
        <v>500</v>
      </c>
      <c r="D82" s="6"/>
      <c r="E82" s="12">
        <f>C82</f>
        <v>500</v>
      </c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6"/>
      <c r="B84" s="8" t="s">
        <v>478</v>
      </c>
      <c r="C84" s="12">
        <v>10475</v>
      </c>
      <c r="D84" s="6"/>
      <c r="E84" s="12">
        <v>10477</v>
      </c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/>
      <c r="B86" s="8" t="s">
        <v>482</v>
      </c>
      <c r="C86" s="12">
        <v>1000</v>
      </c>
      <c r="D86" s="6"/>
      <c r="E86" s="12">
        <f>C86</f>
        <v>1000</v>
      </c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8" t="s">
        <v>23</v>
      </c>
      <c r="C88" s="12">
        <f>(C82+C84+C86)</f>
        <v>11975</v>
      </c>
      <c r="D88" s="6"/>
      <c r="E88" s="12">
        <f>E82+E84+E86</f>
        <v>11977</v>
      </c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8" t="s">
        <v>483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/>
      <c r="B91" s="9" t="s">
        <v>419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8" t="s">
        <v>425</v>
      </c>
      <c r="D92" s="6"/>
      <c r="E92" s="8" t="s">
        <v>426</v>
      </c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>
      <c r="A93" s="6"/>
      <c r="B93" s="6"/>
      <c r="C93" s="9" t="s">
        <v>419</v>
      </c>
      <c r="D93" s="6"/>
      <c r="E93" s="9" t="s">
        <v>419</v>
      </c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>
      <c r="A94" s="6"/>
      <c r="B94" s="8" t="s">
        <v>484</v>
      </c>
      <c r="C94" s="12">
        <f>C82+C86</f>
        <v>1500</v>
      </c>
      <c r="D94" s="6"/>
      <c r="E94" s="12">
        <f>E82+E86</f>
        <v>1500</v>
      </c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>
      <c r="A95" s="6"/>
      <c r="B95" s="8" t="s">
        <v>485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.75">
      <c r="A96" s="6"/>
      <c r="B96" s="8" t="s">
        <v>478</v>
      </c>
      <c r="C96" s="12">
        <f>C84</f>
        <v>10475</v>
      </c>
      <c r="D96" s="6"/>
      <c r="E96" s="12">
        <f>E84</f>
        <v>10477</v>
      </c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>
      <c r="A98" s="6"/>
      <c r="B98" s="8" t="s">
        <v>23</v>
      </c>
      <c r="C98" s="12">
        <f>C94+C96</f>
        <v>11975</v>
      </c>
      <c r="D98" s="6"/>
      <c r="E98" s="12">
        <f>E94+E96</f>
        <v>11977</v>
      </c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>
      <c r="A100" s="6"/>
      <c r="B100" s="8" t="s">
        <v>486</v>
      </c>
      <c r="C100" s="6"/>
      <c r="D100" s="6"/>
      <c r="E100" s="13">
        <v>0.12</v>
      </c>
      <c r="F100" s="6"/>
      <c r="G100" s="6"/>
      <c r="H100" s="8" t="s">
        <v>487</v>
      </c>
      <c r="I100" s="6"/>
      <c r="J100" s="6"/>
      <c r="K100" s="6"/>
      <c r="L100" s="6"/>
      <c r="M100" s="6"/>
      <c r="N100" s="6"/>
      <c r="O100" s="6"/>
    </row>
    <row r="101" spans="1:1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>
      <c r="A102" s="6"/>
      <c r="B102" s="8" t="s">
        <v>488</v>
      </c>
      <c r="C102" s="6"/>
      <c r="D102" s="6"/>
      <c r="E102" s="13">
        <v>0.13</v>
      </c>
      <c r="F102" s="6"/>
      <c r="G102" s="6"/>
      <c r="H102" s="8" t="s">
        <v>489</v>
      </c>
      <c r="I102" s="6"/>
      <c r="J102" s="6"/>
      <c r="K102" s="6"/>
      <c r="L102" s="6"/>
      <c r="M102" s="6"/>
      <c r="N102" s="6"/>
      <c r="O102" s="6"/>
    </row>
    <row r="103" spans="1:15" ht="12.75">
      <c r="A103" s="8" t="s">
        <v>467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>
      <c r="A104" s="6"/>
      <c r="B104" s="8" t="s">
        <v>490</v>
      </c>
      <c r="C104" s="6"/>
      <c r="D104" s="6"/>
      <c r="E104" s="6"/>
      <c r="F104" s="6"/>
      <c r="G104" s="6"/>
      <c r="H104" s="8" t="s">
        <v>491</v>
      </c>
      <c r="I104" s="6"/>
      <c r="J104" s="6"/>
      <c r="K104" s="6"/>
      <c r="L104" s="6"/>
      <c r="M104" s="6"/>
      <c r="N104" s="6"/>
      <c r="O104" s="6"/>
    </row>
    <row r="105" spans="1:15" ht="12.75">
      <c r="A105" s="6"/>
      <c r="B105" s="9" t="s">
        <v>419</v>
      </c>
      <c r="C105" s="9" t="s">
        <v>419</v>
      </c>
      <c r="D105" s="9" t="s">
        <v>419</v>
      </c>
      <c r="E105" s="9" t="s">
        <v>419</v>
      </c>
      <c r="F105" s="9" t="s">
        <v>419</v>
      </c>
      <c r="G105" s="6"/>
      <c r="H105" s="9" t="s">
        <v>419</v>
      </c>
      <c r="I105" s="6"/>
      <c r="J105" s="6"/>
      <c r="K105" s="6"/>
      <c r="L105" s="6"/>
      <c r="M105" s="6"/>
      <c r="N105" s="6"/>
      <c r="O105" s="6"/>
    </row>
    <row r="106" spans="1:15" ht="12.75">
      <c r="A106" s="6"/>
      <c r="B106" s="9" t="s">
        <v>419</v>
      </c>
      <c r="C106" s="9" t="s">
        <v>419</v>
      </c>
      <c r="D106" s="9" t="s">
        <v>419</v>
      </c>
      <c r="E106" s="9" t="s">
        <v>419</v>
      </c>
      <c r="F106" s="9" t="s">
        <v>419</v>
      </c>
      <c r="G106" s="9" t="s">
        <v>419</v>
      </c>
      <c r="H106" s="9" t="s">
        <v>419</v>
      </c>
      <c r="I106" s="9" t="s">
        <v>419</v>
      </c>
      <c r="J106" s="9" t="s">
        <v>419</v>
      </c>
      <c r="K106" s="9" t="s">
        <v>419</v>
      </c>
      <c r="L106" s="9" t="s">
        <v>419</v>
      </c>
      <c r="M106" s="9" t="s">
        <v>419</v>
      </c>
      <c r="N106" s="9" t="s">
        <v>419</v>
      </c>
      <c r="O106" s="6"/>
    </row>
    <row r="107" spans="1:15" ht="12.75">
      <c r="A107" s="6"/>
      <c r="B107" s="6"/>
      <c r="C107" s="6"/>
      <c r="D107" s="6"/>
      <c r="E107" s="6"/>
      <c r="F107" s="6"/>
      <c r="G107" s="6"/>
      <c r="H107" s="6"/>
      <c r="I107" s="6"/>
      <c r="J107" s="8" t="s">
        <v>492</v>
      </c>
      <c r="K107" s="6"/>
      <c r="L107" s="6"/>
      <c r="M107" s="6"/>
      <c r="N107" s="6"/>
      <c r="O107" s="6"/>
    </row>
    <row r="108" spans="1:15" ht="12.75">
      <c r="A108" s="6"/>
      <c r="B108" s="6"/>
      <c r="C108" s="6"/>
      <c r="D108" s="8" t="s">
        <v>493</v>
      </c>
      <c r="E108" s="6"/>
      <c r="F108" s="6"/>
      <c r="G108" s="6"/>
      <c r="H108" s="6"/>
      <c r="I108" s="6"/>
      <c r="J108" s="9" t="s">
        <v>419</v>
      </c>
      <c r="K108" s="9" t="s">
        <v>419</v>
      </c>
      <c r="L108" s="9" t="s">
        <v>419</v>
      </c>
      <c r="M108" s="6"/>
      <c r="N108" s="6"/>
      <c r="O108" s="6"/>
    </row>
    <row r="109" spans="1:15" ht="12.75">
      <c r="A109" s="6"/>
      <c r="B109" s="6"/>
      <c r="C109" s="6"/>
      <c r="D109" s="6"/>
      <c r="E109" s="6"/>
      <c r="F109" s="6"/>
      <c r="G109" s="6"/>
      <c r="H109" s="12" t="str">
        <f>H100</f>
        <v>At 12 %</v>
      </c>
      <c r="I109" s="8" t="s">
        <v>494</v>
      </c>
      <c r="J109" s="6"/>
      <c r="K109" s="6"/>
      <c r="L109" s="12" t="str">
        <f>H102</f>
        <v>At 13 %</v>
      </c>
      <c r="M109" s="8" t="s">
        <v>494</v>
      </c>
      <c r="N109" s="6"/>
      <c r="O109" s="6"/>
    </row>
    <row r="110" spans="1:15" ht="12.75">
      <c r="A110" s="6"/>
      <c r="B110" s="6"/>
      <c r="C110" s="6"/>
      <c r="D110" s="9" t="s">
        <v>419</v>
      </c>
      <c r="E110" s="9" t="s">
        <v>419</v>
      </c>
      <c r="F110" s="8" t="s">
        <v>495</v>
      </c>
      <c r="G110" s="8" t="s">
        <v>438</v>
      </c>
      <c r="H110" s="9" t="s">
        <v>419</v>
      </c>
      <c r="I110" s="9" t="s">
        <v>419</v>
      </c>
      <c r="J110" s="9" t="s">
        <v>419</v>
      </c>
      <c r="K110" s="6"/>
      <c r="L110" s="9" t="s">
        <v>419</v>
      </c>
      <c r="M110" s="9" t="s">
        <v>419</v>
      </c>
      <c r="N110" s="9" t="s">
        <v>419</v>
      </c>
      <c r="O110" s="6"/>
    </row>
    <row r="111" spans="1:15" ht="12.75">
      <c r="A111" s="6"/>
      <c r="B111" s="8" t="s">
        <v>12</v>
      </c>
      <c r="C111" s="8" t="s">
        <v>12</v>
      </c>
      <c r="D111" s="8" t="s">
        <v>496</v>
      </c>
      <c r="E111" s="8" t="s">
        <v>497</v>
      </c>
      <c r="F111" s="10" t="s">
        <v>498</v>
      </c>
      <c r="G111" s="10" t="s">
        <v>426</v>
      </c>
      <c r="H111" s="11" t="s">
        <v>499</v>
      </c>
      <c r="I111" s="11" t="s">
        <v>500</v>
      </c>
      <c r="J111" s="11" t="s">
        <v>426</v>
      </c>
      <c r="K111" s="6"/>
      <c r="L111" s="11" t="s">
        <v>499</v>
      </c>
      <c r="M111" s="11" t="s">
        <v>500</v>
      </c>
      <c r="N111" s="11" t="s">
        <v>426</v>
      </c>
      <c r="O111" s="6"/>
    </row>
    <row r="112" spans="1:15" ht="12.75">
      <c r="A112" s="6"/>
      <c r="B112" s="9" t="s">
        <v>419</v>
      </c>
      <c r="C112" s="9" t="s">
        <v>419</v>
      </c>
      <c r="D112" s="9" t="s">
        <v>419</v>
      </c>
      <c r="E112" s="9" t="s">
        <v>419</v>
      </c>
      <c r="F112" s="9" t="s">
        <v>419</v>
      </c>
      <c r="G112" s="9" t="s">
        <v>419</v>
      </c>
      <c r="H112" s="9" t="s">
        <v>419</v>
      </c>
      <c r="I112" s="9" t="s">
        <v>419</v>
      </c>
      <c r="J112" s="9" t="s">
        <v>419</v>
      </c>
      <c r="K112" s="6"/>
      <c r="L112" s="9" t="s">
        <v>419</v>
      </c>
      <c r="M112" s="9" t="s">
        <v>419</v>
      </c>
      <c r="N112" s="9" t="s">
        <v>419</v>
      </c>
      <c r="O112" s="6"/>
    </row>
    <row r="113" spans="1:15" ht="12.75">
      <c r="A113" s="6"/>
      <c r="B113" s="8" t="s">
        <v>501</v>
      </c>
      <c r="C113" s="12">
        <v>5</v>
      </c>
      <c r="D113" s="12">
        <v>3.6</v>
      </c>
      <c r="E113" s="12">
        <v>0</v>
      </c>
      <c r="F113" s="12">
        <f aca="true" t="shared" si="0" ref="F113:F120">D113-E113</f>
        <v>3.6</v>
      </c>
      <c r="G113" s="12">
        <v>0</v>
      </c>
      <c r="H113" s="15">
        <f aca="true" t="shared" si="1" ref="H113:H118">ROUND((1+$E$100)^C113,4)</f>
        <v>1.7623</v>
      </c>
      <c r="I113" s="12">
        <f aca="true" t="shared" si="2" ref="I113:I119">F113*H113</f>
        <v>6.34428</v>
      </c>
      <c r="J113" s="12">
        <f aca="true" t="shared" si="3" ref="J113:J119">G113*H113</f>
        <v>0</v>
      </c>
      <c r="K113" s="6"/>
      <c r="L113" s="15">
        <f aca="true" t="shared" si="4" ref="L113:L118">ROUND((1+$E$102)^C113,4)</f>
        <v>1.8424</v>
      </c>
      <c r="M113" s="12">
        <f aca="true" t="shared" si="5" ref="M113:M119">F113*L113</f>
        <v>6.63264</v>
      </c>
      <c r="N113" s="12">
        <f aca="true" t="shared" si="6" ref="N113:N119">G113*L113</f>
        <v>0</v>
      </c>
      <c r="O113" s="6"/>
    </row>
    <row r="114" spans="1:15" ht="12.75">
      <c r="A114" s="6"/>
      <c r="B114" s="8" t="s">
        <v>502</v>
      </c>
      <c r="C114" s="12">
        <v>4</v>
      </c>
      <c r="D114" s="12">
        <v>447.04</v>
      </c>
      <c r="E114" s="12">
        <v>0</v>
      </c>
      <c r="F114" s="12">
        <f t="shared" si="0"/>
        <v>447.04</v>
      </c>
      <c r="G114" s="12">
        <v>0</v>
      </c>
      <c r="H114" s="15">
        <f t="shared" si="1"/>
        <v>1.5735</v>
      </c>
      <c r="I114" s="12">
        <f t="shared" si="2"/>
        <v>703.4174399999999</v>
      </c>
      <c r="J114" s="12">
        <f t="shared" si="3"/>
        <v>0</v>
      </c>
      <c r="K114" s="6"/>
      <c r="L114" s="15">
        <f t="shared" si="4"/>
        <v>1.6305</v>
      </c>
      <c r="M114" s="12">
        <f t="shared" si="5"/>
        <v>728.89872</v>
      </c>
      <c r="N114" s="12">
        <f t="shared" si="6"/>
        <v>0</v>
      </c>
      <c r="O114" s="6"/>
    </row>
    <row r="115" spans="1:15" ht="12.75">
      <c r="A115" s="6"/>
      <c r="B115" s="8" t="s">
        <v>503</v>
      </c>
      <c r="C115" s="12">
        <v>3</v>
      </c>
      <c r="D115" s="12">
        <v>1030.58</v>
      </c>
      <c r="E115" s="12">
        <v>0</v>
      </c>
      <c r="F115" s="12">
        <f t="shared" si="0"/>
        <v>1030.58</v>
      </c>
      <c r="G115" s="12">
        <v>390</v>
      </c>
      <c r="H115" s="15">
        <f t="shared" si="1"/>
        <v>1.4049</v>
      </c>
      <c r="I115" s="12">
        <f t="shared" si="2"/>
        <v>1447.861842</v>
      </c>
      <c r="J115" s="12">
        <f t="shared" si="3"/>
        <v>547.9110000000001</v>
      </c>
      <c r="K115" s="6"/>
      <c r="L115" s="15">
        <f t="shared" si="4"/>
        <v>1.4429</v>
      </c>
      <c r="M115" s="12">
        <f t="shared" si="5"/>
        <v>1487.023882</v>
      </c>
      <c r="N115" s="12">
        <f t="shared" si="6"/>
        <v>562.731</v>
      </c>
      <c r="O115" s="6"/>
    </row>
    <row r="116" spans="1:15" ht="12.75">
      <c r="A116" s="6"/>
      <c r="B116" s="8" t="s">
        <v>504</v>
      </c>
      <c r="C116" s="12">
        <v>2</v>
      </c>
      <c r="D116" s="12">
        <v>1657.28</v>
      </c>
      <c r="E116" s="12">
        <v>0</v>
      </c>
      <c r="F116" s="12">
        <f t="shared" si="0"/>
        <v>1657.28</v>
      </c>
      <c r="G116" s="12">
        <v>780</v>
      </c>
      <c r="H116" s="15">
        <f t="shared" si="1"/>
        <v>1.2544</v>
      </c>
      <c r="I116" s="12">
        <f t="shared" si="2"/>
        <v>2078.8920319999997</v>
      </c>
      <c r="J116" s="12">
        <f t="shared" si="3"/>
        <v>978.432</v>
      </c>
      <c r="K116" s="6"/>
      <c r="L116" s="15">
        <f t="shared" si="4"/>
        <v>1.2769</v>
      </c>
      <c r="M116" s="12">
        <f t="shared" si="5"/>
        <v>2116.180832</v>
      </c>
      <c r="N116" s="12">
        <f t="shared" si="6"/>
        <v>995.982</v>
      </c>
      <c r="O116" s="6"/>
    </row>
    <row r="117" spans="1:15" ht="12.75">
      <c r="A117" s="6"/>
      <c r="B117" s="8" t="s">
        <v>505</v>
      </c>
      <c r="C117" s="12">
        <v>1</v>
      </c>
      <c r="D117" s="12">
        <v>7914.66</v>
      </c>
      <c r="E117" s="12">
        <v>0</v>
      </c>
      <c r="F117" s="12">
        <f t="shared" si="0"/>
        <v>7914.66</v>
      </c>
      <c r="G117" s="12">
        <v>754</v>
      </c>
      <c r="H117" s="15">
        <f t="shared" si="1"/>
        <v>1.12</v>
      </c>
      <c r="I117" s="12">
        <f t="shared" si="2"/>
        <v>8864.4192</v>
      </c>
      <c r="J117" s="12">
        <f t="shared" si="3"/>
        <v>844.4800000000001</v>
      </c>
      <c r="K117" s="6"/>
      <c r="L117" s="15">
        <f t="shared" si="4"/>
        <v>1.13</v>
      </c>
      <c r="M117" s="12">
        <f t="shared" si="5"/>
        <v>8943.565799999998</v>
      </c>
      <c r="N117" s="12">
        <f t="shared" si="6"/>
        <v>852.0199999999999</v>
      </c>
      <c r="O117" s="6"/>
    </row>
    <row r="118" spans="1:15" ht="12.75">
      <c r="A118" s="6"/>
      <c r="B118" s="16">
        <v>0</v>
      </c>
      <c r="C118" s="12">
        <v>0</v>
      </c>
      <c r="D118" s="12">
        <v>7700</v>
      </c>
      <c r="E118" s="12">
        <f>$C$64*0</f>
        <v>0</v>
      </c>
      <c r="F118" s="12">
        <f t="shared" si="0"/>
        <v>7700</v>
      </c>
      <c r="G118" s="12">
        <v>0</v>
      </c>
      <c r="H118" s="15">
        <f t="shared" si="1"/>
        <v>1</v>
      </c>
      <c r="I118" s="12">
        <f t="shared" si="2"/>
        <v>7700</v>
      </c>
      <c r="J118" s="12">
        <f t="shared" si="3"/>
        <v>0</v>
      </c>
      <c r="K118" s="6"/>
      <c r="L118" s="15">
        <f t="shared" si="4"/>
        <v>1</v>
      </c>
      <c r="M118" s="12">
        <f t="shared" si="5"/>
        <v>7700</v>
      </c>
      <c r="N118" s="12">
        <f t="shared" si="6"/>
        <v>0</v>
      </c>
      <c r="O118" s="6"/>
    </row>
    <row r="119" spans="1:15" ht="12.75">
      <c r="A119" s="6"/>
      <c r="B119" s="8" t="s">
        <v>506</v>
      </c>
      <c r="C119" s="12">
        <v>1</v>
      </c>
      <c r="D119" s="12">
        <v>788.86</v>
      </c>
      <c r="E119" s="12">
        <f>$C$64*1</f>
        <v>665.86</v>
      </c>
      <c r="F119" s="12">
        <f t="shared" si="0"/>
        <v>123</v>
      </c>
      <c r="G119" s="12">
        <v>0</v>
      </c>
      <c r="H119" s="15">
        <f>ROUND((1/((1+$E$100)^C119)),4)</f>
        <v>0.8929</v>
      </c>
      <c r="I119" s="12">
        <f t="shared" si="2"/>
        <v>109.8267</v>
      </c>
      <c r="J119" s="12">
        <f t="shared" si="3"/>
        <v>0</v>
      </c>
      <c r="K119" s="6"/>
      <c r="L119" s="15">
        <f>ROUND((1/((1+$E$102)^C119)),4)</f>
        <v>0.885</v>
      </c>
      <c r="M119" s="12">
        <f t="shared" si="5"/>
        <v>108.855</v>
      </c>
      <c r="N119" s="12">
        <f t="shared" si="6"/>
        <v>0</v>
      </c>
      <c r="O119" s="6"/>
    </row>
    <row r="120" spans="1:15" ht="12.75">
      <c r="A120" s="6"/>
      <c r="B120" s="8" t="s">
        <v>507</v>
      </c>
      <c r="C120" s="6">
        <v>2</v>
      </c>
      <c r="D120" s="12">
        <f>104.47+135.63</f>
        <v>240.1</v>
      </c>
      <c r="E120" s="6">
        <v>0</v>
      </c>
      <c r="F120" s="12">
        <f t="shared" si="0"/>
        <v>240.1</v>
      </c>
      <c r="G120" s="12">
        <v>0</v>
      </c>
      <c r="H120" s="15">
        <f>ROUND((1/((1+$E$100)^C120)),4)</f>
        <v>0.7972</v>
      </c>
      <c r="I120" s="12">
        <f>F120*H120</f>
        <v>191.40772</v>
      </c>
      <c r="J120" s="12">
        <f>G120*H120</f>
        <v>0</v>
      </c>
      <c r="K120" s="6"/>
      <c r="L120" s="15">
        <f>ROUND((1/((1+$E$102)^C120)),4)</f>
        <v>0.7831</v>
      </c>
      <c r="M120" s="12">
        <f>F120*L120</f>
        <v>188.02231</v>
      </c>
      <c r="N120" s="12">
        <f>G120*L120</f>
        <v>0</v>
      </c>
      <c r="O120" s="6"/>
    </row>
    <row r="121" spans="1:15" ht="12.75">
      <c r="A121" s="6"/>
      <c r="B121" s="8" t="s">
        <v>508</v>
      </c>
      <c r="C121" s="6"/>
      <c r="D121" s="12"/>
      <c r="E121" s="6"/>
      <c r="F121" s="12"/>
      <c r="G121" s="12"/>
      <c r="H121" s="15"/>
      <c r="I121" s="12"/>
      <c r="J121" s="12"/>
      <c r="K121" s="6"/>
      <c r="L121" s="15"/>
      <c r="M121" s="12"/>
      <c r="N121" s="12"/>
      <c r="O121" s="6"/>
    </row>
    <row r="122" spans="1:15" ht="12.75">
      <c r="A122" s="6"/>
      <c r="B122" s="8" t="s">
        <v>509</v>
      </c>
      <c r="C122" s="12">
        <v>21</v>
      </c>
      <c r="D122" s="12">
        <f>(F291+F294)</f>
        <v>77.43</v>
      </c>
      <c r="E122" s="12">
        <v>0</v>
      </c>
      <c r="F122" s="12">
        <f>D122-E122</f>
        <v>77.43</v>
      </c>
      <c r="G122" s="12">
        <v>0</v>
      </c>
      <c r="H122" s="15">
        <f>ROUND((1/((1+$E$100)^C122)),4)</f>
        <v>0.0926</v>
      </c>
      <c r="I122" s="12">
        <f>F122*H122</f>
        <v>7.170018000000001</v>
      </c>
      <c r="J122" s="12">
        <f>G122*H122</f>
        <v>0</v>
      </c>
      <c r="K122" s="6"/>
      <c r="L122" s="15">
        <f>ROUND((1/((1+$E$102)^C122)),4)</f>
        <v>0.0768</v>
      </c>
      <c r="M122" s="12">
        <f>F122*L122</f>
        <v>5.946624</v>
      </c>
      <c r="N122" s="12">
        <f>G122*L122</f>
        <v>0</v>
      </c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9" t="s">
        <v>419</v>
      </c>
      <c r="C124" s="9" t="s">
        <v>419</v>
      </c>
      <c r="D124" s="9" t="s">
        <v>419</v>
      </c>
      <c r="E124" s="9" t="s">
        <v>419</v>
      </c>
      <c r="F124" s="9" t="s">
        <v>419</v>
      </c>
      <c r="G124" s="9" t="s">
        <v>419</v>
      </c>
      <c r="H124" s="9" t="s">
        <v>419</v>
      </c>
      <c r="I124" s="9" t="s">
        <v>419</v>
      </c>
      <c r="J124" s="9" t="s">
        <v>419</v>
      </c>
      <c r="K124" s="9" t="s">
        <v>419</v>
      </c>
      <c r="L124" s="9" t="s">
        <v>419</v>
      </c>
      <c r="M124" s="9" t="s">
        <v>419</v>
      </c>
      <c r="N124" s="9" t="s">
        <v>419</v>
      </c>
      <c r="O124" s="8" t="s">
        <v>438</v>
      </c>
    </row>
    <row r="125" spans="1:15" ht="12.75">
      <c r="A125" s="6"/>
      <c r="B125" s="8" t="s">
        <v>23</v>
      </c>
      <c r="C125" s="6"/>
      <c r="D125" s="12">
        <f>SUM(D113:D120)</f>
        <v>19782.12</v>
      </c>
      <c r="E125" s="12">
        <f>SUM(E116:E119)</f>
        <v>665.86</v>
      </c>
      <c r="F125" s="12">
        <f>SUM(F113:F120)</f>
        <v>19116.26</v>
      </c>
      <c r="G125" s="12">
        <f>SUM(G116:G119)</f>
        <v>1534</v>
      </c>
      <c r="H125" s="6"/>
      <c r="I125" s="12">
        <f>SUM(I113:I122)</f>
        <v>21109.339232000002</v>
      </c>
      <c r="J125" s="12">
        <f>SUM(J113:J122)</f>
        <v>2370.8230000000003</v>
      </c>
      <c r="K125" s="6"/>
      <c r="L125" s="6"/>
      <c r="M125" s="12">
        <f>SUM(M113:M122)</f>
        <v>21285.125807999997</v>
      </c>
      <c r="N125" s="12">
        <f>SUM(N113:N122)</f>
        <v>2410.7329999999997</v>
      </c>
      <c r="O125" s="6"/>
    </row>
    <row r="126" spans="1:15" ht="12.75">
      <c r="A126" s="6"/>
      <c r="B126" s="9" t="s">
        <v>419</v>
      </c>
      <c r="C126" s="9" t="s">
        <v>419</v>
      </c>
      <c r="D126" s="9" t="s">
        <v>419</v>
      </c>
      <c r="E126" s="9" t="s">
        <v>419</v>
      </c>
      <c r="F126" s="9" t="s">
        <v>419</v>
      </c>
      <c r="G126" s="9" t="s">
        <v>419</v>
      </c>
      <c r="H126" s="9" t="s">
        <v>419</v>
      </c>
      <c r="I126" s="9" t="s">
        <v>419</v>
      </c>
      <c r="J126" s="9" t="s">
        <v>419</v>
      </c>
      <c r="K126" s="9" t="s">
        <v>419</v>
      </c>
      <c r="L126" s="9" t="s">
        <v>419</v>
      </c>
      <c r="M126" s="9" t="s">
        <v>419</v>
      </c>
      <c r="N126" s="9" t="s">
        <v>419</v>
      </c>
      <c r="O126" s="6"/>
    </row>
    <row r="128" spans="2:8" ht="12.75">
      <c r="B128" s="17" t="s">
        <v>510</v>
      </c>
      <c r="H128" s="17" t="s">
        <v>511</v>
      </c>
    </row>
    <row r="129" spans="2:8" ht="12.75">
      <c r="B129" s="18" t="s">
        <v>419</v>
      </c>
      <c r="C129" s="18" t="s">
        <v>419</v>
      </c>
      <c r="D129" s="18" t="s">
        <v>419</v>
      </c>
      <c r="E129" s="18" t="s">
        <v>419</v>
      </c>
      <c r="H129" s="18" t="s">
        <v>419</v>
      </c>
    </row>
    <row r="130" spans="2:13" ht="12.75">
      <c r="B130" s="18" t="s">
        <v>419</v>
      </c>
      <c r="C130" s="18" t="s">
        <v>419</v>
      </c>
      <c r="D130" s="18" t="s">
        <v>419</v>
      </c>
      <c r="E130" s="18" t="s">
        <v>419</v>
      </c>
      <c r="F130" s="18" t="s">
        <v>419</v>
      </c>
      <c r="G130" s="18" t="s">
        <v>419</v>
      </c>
      <c r="H130" s="18" t="s">
        <v>419</v>
      </c>
      <c r="I130" s="18" t="s">
        <v>419</v>
      </c>
      <c r="J130" s="18" t="s">
        <v>419</v>
      </c>
      <c r="K130" s="18" t="s">
        <v>419</v>
      </c>
      <c r="L130" s="18" t="s">
        <v>419</v>
      </c>
      <c r="M130" s="18" t="s">
        <v>419</v>
      </c>
    </row>
    <row r="131" spans="3:9" ht="12.75">
      <c r="C131" s="17" t="s">
        <v>512</v>
      </c>
      <c r="E131" s="19" t="s">
        <v>513</v>
      </c>
      <c r="I131" s="17" t="s">
        <v>514</v>
      </c>
    </row>
    <row r="132" spans="2:12" ht="12.75">
      <c r="B132" s="17" t="s">
        <v>12</v>
      </c>
      <c r="C132" s="18" t="s">
        <v>419</v>
      </c>
      <c r="D132" s="18" t="s">
        <v>419</v>
      </c>
      <c r="E132" s="17" t="s">
        <v>515</v>
      </c>
      <c r="I132" s="18" t="s">
        <v>419</v>
      </c>
      <c r="J132" s="18" t="s">
        <v>419</v>
      </c>
      <c r="K132" s="18" t="s">
        <v>419</v>
      </c>
      <c r="L132" s="18" t="s">
        <v>419</v>
      </c>
    </row>
    <row r="133" spans="5:12" ht="12.75">
      <c r="E133" s="18" t="s">
        <v>419</v>
      </c>
      <c r="F133" s="17" t="s">
        <v>438</v>
      </c>
      <c r="G133" s="20" t="str">
        <f>H100</f>
        <v>At 12 %</v>
      </c>
      <c r="H133" s="17" t="s">
        <v>494</v>
      </c>
      <c r="K133" s="20" t="str">
        <f>H102</f>
        <v>At 13 %</v>
      </c>
      <c r="L133" s="17" t="s">
        <v>494</v>
      </c>
    </row>
    <row r="134" spans="7:13" ht="12.75">
      <c r="G134" s="18" t="s">
        <v>419</v>
      </c>
      <c r="H134" s="18" t="s">
        <v>419</v>
      </c>
      <c r="I134" s="18" t="s">
        <v>419</v>
      </c>
      <c r="K134" s="18" t="s">
        <v>419</v>
      </c>
      <c r="L134" s="18" t="s">
        <v>419</v>
      </c>
      <c r="M134" s="18" t="s">
        <v>419</v>
      </c>
    </row>
    <row r="135" spans="3:13" ht="12.75">
      <c r="C135" s="17" t="s">
        <v>496</v>
      </c>
      <c r="D135" s="17" t="s">
        <v>426</v>
      </c>
      <c r="E135" s="17" t="s">
        <v>496</v>
      </c>
      <c r="F135" s="17" t="s">
        <v>426</v>
      </c>
      <c r="G135" s="21" t="s">
        <v>516</v>
      </c>
      <c r="H135" s="21" t="s">
        <v>500</v>
      </c>
      <c r="I135" s="21" t="s">
        <v>426</v>
      </c>
      <c r="K135" s="21" t="s">
        <v>516</v>
      </c>
      <c r="L135" s="21" t="s">
        <v>500</v>
      </c>
      <c r="M135" s="21" t="s">
        <v>426</v>
      </c>
    </row>
    <row r="136" spans="2:13" ht="12.75">
      <c r="B136" s="18" t="s">
        <v>419</v>
      </c>
      <c r="C136" s="18" t="s">
        <v>419</v>
      </c>
      <c r="D136" s="18" t="s">
        <v>419</v>
      </c>
      <c r="E136" s="18" t="s">
        <v>419</v>
      </c>
      <c r="F136" s="18" t="s">
        <v>419</v>
      </c>
      <c r="G136" s="18" t="s">
        <v>419</v>
      </c>
      <c r="H136" s="18" t="s">
        <v>419</v>
      </c>
      <c r="I136" s="18" t="s">
        <v>419</v>
      </c>
      <c r="K136" s="18" t="s">
        <v>419</v>
      </c>
      <c r="L136" s="18" t="s">
        <v>419</v>
      </c>
      <c r="M136" s="18" t="s">
        <v>419</v>
      </c>
    </row>
    <row r="137" spans="2:13" ht="12.75">
      <c r="B137" s="20">
        <v>0</v>
      </c>
      <c r="C137" s="20">
        <f>C76</f>
        <v>49</v>
      </c>
      <c r="D137" s="20">
        <f>E76</f>
        <v>74</v>
      </c>
      <c r="E137" s="20">
        <f>$G$12*C76</f>
        <v>8820</v>
      </c>
      <c r="F137" s="20">
        <f>$H$12*E76</f>
        <v>13246</v>
      </c>
      <c r="G137" s="22">
        <f>ROUND((1/((1+$E100)^B137)),4)</f>
        <v>1</v>
      </c>
      <c r="H137" s="20">
        <f aca="true" t="shared" si="7" ref="H137:H145">(E137*G137)</f>
        <v>8820</v>
      </c>
      <c r="I137" s="20">
        <f aca="true" t="shared" si="8" ref="I137:I145">F137*G137</f>
        <v>13246</v>
      </c>
      <c r="K137" s="22">
        <f aca="true" t="shared" si="9" ref="K137:K145">ROUND((1/((1+$E$102)^B137)),4)</f>
        <v>1</v>
      </c>
      <c r="L137" s="20">
        <f aca="true" t="shared" si="10" ref="L137:L145">E137*K137</f>
        <v>8820</v>
      </c>
      <c r="M137" s="20">
        <f aca="true" t="shared" si="11" ref="M137:M145">F137*K137</f>
        <v>13246</v>
      </c>
    </row>
    <row r="138" spans="2:13" ht="12.75">
      <c r="B138" s="20">
        <v>1</v>
      </c>
      <c r="C138" s="20">
        <v>2</v>
      </c>
      <c r="D138" s="20">
        <v>2</v>
      </c>
      <c r="E138" s="20">
        <f>$G$12*C138</f>
        <v>360</v>
      </c>
      <c r="F138" s="20">
        <f>$H$12*D138</f>
        <v>358</v>
      </c>
      <c r="G138" s="22">
        <f aca="true" t="shared" si="12" ref="G138:G145">ROUND((1/((1+$E$100)^B138)),4)</f>
        <v>0.8929</v>
      </c>
      <c r="H138" s="20">
        <f t="shared" si="7"/>
        <v>321.444</v>
      </c>
      <c r="I138" s="20">
        <f t="shared" si="8"/>
        <v>319.6582</v>
      </c>
      <c r="K138" s="22">
        <f t="shared" si="9"/>
        <v>0.885</v>
      </c>
      <c r="L138" s="20">
        <f t="shared" si="10"/>
        <v>318.6</v>
      </c>
      <c r="M138" s="20">
        <f t="shared" si="11"/>
        <v>316.83</v>
      </c>
    </row>
    <row r="139" spans="2:13" ht="12.75">
      <c r="B139" s="20">
        <v>2</v>
      </c>
      <c r="C139" s="20">
        <v>2</v>
      </c>
      <c r="D139" s="20">
        <v>2</v>
      </c>
      <c r="E139" s="20">
        <f aca="true" t="shared" si="13" ref="E139:E144">$G$12*C139</f>
        <v>360</v>
      </c>
      <c r="F139" s="20">
        <f aca="true" t="shared" si="14" ref="F139:F144">$H$12*D139</f>
        <v>358</v>
      </c>
      <c r="G139" s="22">
        <f t="shared" si="12"/>
        <v>0.7972</v>
      </c>
      <c r="H139" s="20">
        <f t="shared" si="7"/>
        <v>286.992</v>
      </c>
      <c r="I139" s="20">
        <f t="shared" si="8"/>
        <v>285.3976</v>
      </c>
      <c r="K139" s="22">
        <f t="shared" si="9"/>
        <v>0.7831</v>
      </c>
      <c r="L139" s="20">
        <f t="shared" si="10"/>
        <v>281.916</v>
      </c>
      <c r="M139" s="20">
        <f t="shared" si="11"/>
        <v>280.3498</v>
      </c>
    </row>
    <row r="140" spans="2:13" ht="12.75">
      <c r="B140" s="20">
        <v>3</v>
      </c>
      <c r="C140" s="20">
        <v>2</v>
      </c>
      <c r="D140" s="20">
        <v>3</v>
      </c>
      <c r="E140" s="20">
        <f t="shared" si="13"/>
        <v>360</v>
      </c>
      <c r="F140" s="20">
        <f t="shared" si="14"/>
        <v>537</v>
      </c>
      <c r="G140" s="22">
        <f t="shared" si="12"/>
        <v>0.7118</v>
      </c>
      <c r="H140" s="20">
        <f t="shared" si="7"/>
        <v>256.248</v>
      </c>
      <c r="I140" s="20">
        <f t="shared" si="8"/>
        <v>382.2366</v>
      </c>
      <c r="K140" s="22">
        <f t="shared" si="9"/>
        <v>0.6931</v>
      </c>
      <c r="L140" s="20">
        <f t="shared" si="10"/>
        <v>249.51600000000002</v>
      </c>
      <c r="M140" s="20">
        <f t="shared" si="11"/>
        <v>372.1947</v>
      </c>
    </row>
    <row r="141" spans="2:13" ht="12.75">
      <c r="B141" s="20">
        <v>4</v>
      </c>
      <c r="C141" s="20">
        <v>0</v>
      </c>
      <c r="D141" s="20">
        <v>2</v>
      </c>
      <c r="E141" s="20">
        <f t="shared" si="13"/>
        <v>0</v>
      </c>
      <c r="F141" s="20">
        <f t="shared" si="14"/>
        <v>358</v>
      </c>
      <c r="G141" s="22">
        <f t="shared" si="12"/>
        <v>0.6355</v>
      </c>
      <c r="H141" s="20">
        <f t="shared" si="7"/>
        <v>0</v>
      </c>
      <c r="I141" s="20">
        <f t="shared" si="8"/>
        <v>227.509</v>
      </c>
      <c r="K141" s="22">
        <f t="shared" si="9"/>
        <v>0.6133</v>
      </c>
      <c r="L141" s="20">
        <f t="shared" si="10"/>
        <v>0</v>
      </c>
      <c r="M141" s="20">
        <f t="shared" si="11"/>
        <v>219.5614</v>
      </c>
    </row>
    <row r="142" spans="2:13" ht="12.75">
      <c r="B142" s="20">
        <v>5</v>
      </c>
      <c r="C142" s="20">
        <v>2</v>
      </c>
      <c r="D142" s="20">
        <v>2</v>
      </c>
      <c r="E142" s="20">
        <f t="shared" si="13"/>
        <v>360</v>
      </c>
      <c r="F142" s="20">
        <f t="shared" si="14"/>
        <v>358</v>
      </c>
      <c r="G142" s="22">
        <f t="shared" si="12"/>
        <v>0.5674</v>
      </c>
      <c r="H142" s="20">
        <f t="shared" si="7"/>
        <v>204.264</v>
      </c>
      <c r="I142" s="20">
        <f t="shared" si="8"/>
        <v>203.1292</v>
      </c>
      <c r="K142" s="22">
        <f t="shared" si="9"/>
        <v>0.5428</v>
      </c>
      <c r="L142" s="20">
        <f t="shared" si="10"/>
        <v>195.408</v>
      </c>
      <c r="M142" s="20">
        <f t="shared" si="11"/>
        <v>194.3224</v>
      </c>
    </row>
    <row r="143" spans="2:13" ht="12.75">
      <c r="B143" s="20">
        <v>6</v>
      </c>
      <c r="C143" s="20">
        <v>3</v>
      </c>
      <c r="D143" s="20">
        <v>4</v>
      </c>
      <c r="E143" s="20">
        <f t="shared" si="13"/>
        <v>540</v>
      </c>
      <c r="F143" s="20">
        <f t="shared" si="14"/>
        <v>716</v>
      </c>
      <c r="G143" s="22">
        <f t="shared" si="12"/>
        <v>0.5066</v>
      </c>
      <c r="H143" s="20">
        <f t="shared" si="7"/>
        <v>273.564</v>
      </c>
      <c r="I143" s="20">
        <f t="shared" si="8"/>
        <v>362.72560000000004</v>
      </c>
      <c r="K143" s="22">
        <f t="shared" si="9"/>
        <v>0.4803</v>
      </c>
      <c r="L143" s="20">
        <f t="shared" si="10"/>
        <v>259.362</v>
      </c>
      <c r="M143" s="20">
        <f t="shared" si="11"/>
        <v>343.8948</v>
      </c>
    </row>
    <row r="144" spans="2:13" ht="12.75">
      <c r="B144" s="20">
        <v>7</v>
      </c>
      <c r="C144" s="20">
        <v>2</v>
      </c>
      <c r="D144" s="20">
        <v>2</v>
      </c>
      <c r="E144" s="20">
        <f t="shared" si="13"/>
        <v>360</v>
      </c>
      <c r="F144" s="20">
        <f t="shared" si="14"/>
        <v>358</v>
      </c>
      <c r="G144" s="22">
        <f t="shared" si="12"/>
        <v>0.4523</v>
      </c>
      <c r="H144" s="20">
        <f t="shared" si="7"/>
        <v>162.828</v>
      </c>
      <c r="I144" s="20">
        <f t="shared" si="8"/>
        <v>161.9234</v>
      </c>
      <c r="K144" s="22">
        <f t="shared" si="9"/>
        <v>0.4251</v>
      </c>
      <c r="L144" s="20">
        <f t="shared" si="10"/>
        <v>153.036</v>
      </c>
      <c r="M144" s="20">
        <f t="shared" si="11"/>
        <v>152.1858</v>
      </c>
    </row>
    <row r="145" spans="2:13" ht="12.75">
      <c r="B145" s="20">
        <v>8</v>
      </c>
      <c r="C145" s="20">
        <v>2</v>
      </c>
      <c r="D145" s="20">
        <v>4</v>
      </c>
      <c r="E145" s="20">
        <f>$G$12*C145</f>
        <v>360</v>
      </c>
      <c r="F145" s="20">
        <f>$H$12*D145</f>
        <v>716</v>
      </c>
      <c r="G145" s="22">
        <f t="shared" si="12"/>
        <v>0.4039</v>
      </c>
      <c r="H145" s="20">
        <f t="shared" si="7"/>
        <v>145.404</v>
      </c>
      <c r="I145" s="20">
        <f t="shared" si="8"/>
        <v>289.19239999999996</v>
      </c>
      <c r="K145" s="22">
        <f t="shared" si="9"/>
        <v>0.3762</v>
      </c>
      <c r="L145" s="20">
        <f t="shared" si="10"/>
        <v>135.432</v>
      </c>
      <c r="M145" s="20">
        <f t="shared" si="11"/>
        <v>269.3592</v>
      </c>
    </row>
    <row r="146" spans="2:13" ht="12.75">
      <c r="B146" s="20"/>
      <c r="C146" s="20"/>
      <c r="D146" s="20"/>
      <c r="E146" s="20"/>
      <c r="F146" s="20"/>
      <c r="G146" s="22"/>
      <c r="H146" s="20"/>
      <c r="I146" s="20"/>
      <c r="K146" s="22"/>
      <c r="L146" s="20"/>
      <c r="M146" s="20"/>
    </row>
    <row r="147" spans="2:13" ht="12.75">
      <c r="B147" s="17" t="s">
        <v>23</v>
      </c>
      <c r="H147" s="20">
        <f>SUM(H137:H145)</f>
        <v>10470.743999999999</v>
      </c>
      <c r="I147" s="20">
        <f>SUM(I137:I145)</f>
        <v>15477.771999999999</v>
      </c>
      <c r="J147" s="17" t="s">
        <v>438</v>
      </c>
      <c r="K147" s="17" t="s">
        <v>438</v>
      </c>
      <c r="L147" s="20">
        <f>SUM(L137:L145)</f>
        <v>10413.269999999999</v>
      </c>
      <c r="M147" s="20">
        <f>SUM(M137:M145)</f>
        <v>15394.6981</v>
      </c>
    </row>
    <row r="148" spans="2:13" ht="12.75">
      <c r="B148" s="20"/>
      <c r="C148" s="20"/>
      <c r="D148" s="20"/>
      <c r="E148" s="20"/>
      <c r="F148" s="20"/>
      <c r="G148" s="22"/>
      <c r="H148" s="20"/>
      <c r="I148" s="20"/>
      <c r="K148" s="22"/>
      <c r="L148" s="20"/>
      <c r="M148" s="20"/>
    </row>
    <row r="149" spans="2:11" ht="12.75">
      <c r="B149" t="s">
        <v>517</v>
      </c>
      <c r="G149" s="23" t="s">
        <v>438</v>
      </c>
      <c r="K149" s="23" t="s">
        <v>438</v>
      </c>
    </row>
    <row r="150" spans="2:13" ht="12.75">
      <c r="B150" s="20">
        <v>18</v>
      </c>
      <c r="C150" s="20">
        <v>0</v>
      </c>
      <c r="D150" s="20">
        <f>E76</f>
        <v>74</v>
      </c>
      <c r="E150" s="20">
        <f aca="true" t="shared" si="15" ref="E150:E158">$G$12*C150</f>
        <v>0</v>
      </c>
      <c r="F150" s="20">
        <f aca="true" t="shared" si="16" ref="F150:F158">($H$14*0.9)*D150</f>
        <v>2664</v>
      </c>
      <c r="G150" s="22">
        <f aca="true" t="shared" si="17" ref="G150:G158">ROUND((1/((1+$E$100)^B150)),4)</f>
        <v>0.13</v>
      </c>
      <c r="H150" s="20">
        <f aca="true" t="shared" si="18" ref="H150:H158">(E150*G150)</f>
        <v>0</v>
      </c>
      <c r="I150" s="20">
        <f aca="true" t="shared" si="19" ref="I150:I158">F150*G150</f>
        <v>346.32</v>
      </c>
      <c r="K150" s="22">
        <f aca="true" t="shared" si="20" ref="K150:K158">ROUND((1/((1+$E$102)^B150)),4)</f>
        <v>0.1108</v>
      </c>
      <c r="L150" s="20">
        <f aca="true" t="shared" si="21" ref="L150:L158">E150*K150</f>
        <v>0</v>
      </c>
      <c r="M150" s="20">
        <f aca="true" t="shared" si="22" ref="M150:M158">F150*K150</f>
        <v>295.1712</v>
      </c>
    </row>
    <row r="151" spans="2:13" ht="12.75">
      <c r="B151" s="20">
        <v>19</v>
      </c>
      <c r="C151" s="20">
        <v>0</v>
      </c>
      <c r="D151" s="20">
        <v>2</v>
      </c>
      <c r="E151" s="20">
        <f t="shared" si="15"/>
        <v>0</v>
      </c>
      <c r="F151" s="20">
        <f t="shared" si="16"/>
        <v>72</v>
      </c>
      <c r="G151" s="22">
        <f t="shared" si="17"/>
        <v>0.1161</v>
      </c>
      <c r="H151" s="20">
        <f t="shared" si="18"/>
        <v>0</v>
      </c>
      <c r="I151" s="20">
        <f t="shared" si="19"/>
        <v>8.3592</v>
      </c>
      <c r="K151" s="22">
        <f t="shared" si="20"/>
        <v>0.0981</v>
      </c>
      <c r="L151" s="20">
        <f t="shared" si="21"/>
        <v>0</v>
      </c>
      <c r="M151" s="20">
        <f t="shared" si="22"/>
        <v>7.0632</v>
      </c>
    </row>
    <row r="152" spans="2:13" ht="12.75">
      <c r="B152" s="20">
        <v>20</v>
      </c>
      <c r="C152" s="20">
        <v>0</v>
      </c>
      <c r="D152" s="20">
        <v>2</v>
      </c>
      <c r="E152" s="20">
        <f t="shared" si="15"/>
        <v>0</v>
      </c>
      <c r="F152" s="20">
        <f t="shared" si="16"/>
        <v>72</v>
      </c>
      <c r="G152" s="22">
        <f t="shared" si="17"/>
        <v>0.1037</v>
      </c>
      <c r="H152" s="20">
        <f t="shared" si="18"/>
        <v>0</v>
      </c>
      <c r="I152" s="20">
        <f t="shared" si="19"/>
        <v>7.4664</v>
      </c>
      <c r="K152" s="22">
        <f t="shared" si="20"/>
        <v>0.0868</v>
      </c>
      <c r="L152" s="20">
        <f t="shared" si="21"/>
        <v>0</v>
      </c>
      <c r="M152" s="20">
        <f t="shared" si="22"/>
        <v>6.2496</v>
      </c>
    </row>
    <row r="153" spans="2:13" ht="12.75">
      <c r="B153" s="20">
        <v>21</v>
      </c>
      <c r="C153" s="20">
        <v>0</v>
      </c>
      <c r="D153" s="20">
        <v>3</v>
      </c>
      <c r="E153" s="20">
        <f t="shared" si="15"/>
        <v>0</v>
      </c>
      <c r="F153" s="20">
        <f t="shared" si="16"/>
        <v>108</v>
      </c>
      <c r="G153" s="22">
        <f t="shared" si="17"/>
        <v>0.0926</v>
      </c>
      <c r="H153" s="20">
        <f t="shared" si="18"/>
        <v>0</v>
      </c>
      <c r="I153" s="20">
        <f t="shared" si="19"/>
        <v>10.0008</v>
      </c>
      <c r="K153" s="22">
        <f t="shared" si="20"/>
        <v>0.0768</v>
      </c>
      <c r="L153" s="20">
        <f t="shared" si="21"/>
        <v>0</v>
      </c>
      <c r="M153" s="20">
        <f t="shared" si="22"/>
        <v>8.2944</v>
      </c>
    </row>
    <row r="154" spans="2:13" ht="12.75">
      <c r="B154" s="20">
        <v>22</v>
      </c>
      <c r="C154" s="20">
        <v>0</v>
      </c>
      <c r="D154" s="20">
        <v>2</v>
      </c>
      <c r="E154" s="20">
        <f t="shared" si="15"/>
        <v>0</v>
      </c>
      <c r="F154" s="20">
        <f t="shared" si="16"/>
        <v>72</v>
      </c>
      <c r="G154" s="22">
        <f t="shared" si="17"/>
        <v>0.0826</v>
      </c>
      <c r="H154" s="20">
        <f t="shared" si="18"/>
        <v>0</v>
      </c>
      <c r="I154" s="20">
        <f t="shared" si="19"/>
        <v>5.9472000000000005</v>
      </c>
      <c r="K154" s="22">
        <f t="shared" si="20"/>
        <v>0.068</v>
      </c>
      <c r="L154" s="20">
        <f t="shared" si="21"/>
        <v>0</v>
      </c>
      <c r="M154" s="20">
        <f t="shared" si="22"/>
        <v>4.896000000000001</v>
      </c>
    </row>
    <row r="155" spans="2:13" ht="12.75">
      <c r="B155" s="20">
        <v>23</v>
      </c>
      <c r="C155" s="20">
        <v>0</v>
      </c>
      <c r="D155" s="20">
        <v>2</v>
      </c>
      <c r="E155" s="20">
        <f t="shared" si="15"/>
        <v>0</v>
      </c>
      <c r="F155" s="20">
        <f t="shared" si="16"/>
        <v>72</v>
      </c>
      <c r="G155" s="22">
        <f t="shared" si="17"/>
        <v>0.0738</v>
      </c>
      <c r="H155" s="20">
        <f t="shared" si="18"/>
        <v>0</v>
      </c>
      <c r="I155" s="20">
        <f t="shared" si="19"/>
        <v>5.3136</v>
      </c>
      <c r="K155" s="22">
        <f t="shared" si="20"/>
        <v>0.0601</v>
      </c>
      <c r="L155" s="20">
        <f t="shared" si="21"/>
        <v>0</v>
      </c>
      <c r="M155" s="20">
        <f t="shared" si="22"/>
        <v>4.3272</v>
      </c>
    </row>
    <row r="156" spans="2:13" ht="12.75">
      <c r="B156" s="20">
        <v>24</v>
      </c>
      <c r="C156" s="20">
        <v>0</v>
      </c>
      <c r="D156" s="20">
        <v>4</v>
      </c>
      <c r="E156" s="20">
        <f t="shared" si="15"/>
        <v>0</v>
      </c>
      <c r="F156" s="20">
        <f t="shared" si="16"/>
        <v>144</v>
      </c>
      <c r="G156" s="22">
        <f t="shared" si="17"/>
        <v>0.0659</v>
      </c>
      <c r="H156" s="20">
        <f t="shared" si="18"/>
        <v>0</v>
      </c>
      <c r="I156" s="20">
        <f t="shared" si="19"/>
        <v>9.4896</v>
      </c>
      <c r="K156" s="22">
        <f t="shared" si="20"/>
        <v>0.0532</v>
      </c>
      <c r="L156" s="20">
        <f t="shared" si="21"/>
        <v>0</v>
      </c>
      <c r="M156" s="20">
        <f t="shared" si="22"/>
        <v>7.6608</v>
      </c>
    </row>
    <row r="157" spans="2:13" ht="12.75">
      <c r="B157" s="20">
        <v>25</v>
      </c>
      <c r="C157" s="20">
        <v>0</v>
      </c>
      <c r="D157" s="20">
        <v>2</v>
      </c>
      <c r="E157" s="20">
        <f t="shared" si="15"/>
        <v>0</v>
      </c>
      <c r="F157" s="20">
        <f t="shared" si="16"/>
        <v>72</v>
      </c>
      <c r="G157" s="22">
        <f t="shared" si="17"/>
        <v>0.0588</v>
      </c>
      <c r="H157" s="20">
        <f t="shared" si="18"/>
        <v>0</v>
      </c>
      <c r="I157" s="20">
        <f t="shared" si="19"/>
        <v>4.2336</v>
      </c>
      <c r="K157" s="22">
        <f t="shared" si="20"/>
        <v>0.0471</v>
      </c>
      <c r="L157" s="20">
        <f t="shared" si="21"/>
        <v>0</v>
      </c>
      <c r="M157" s="20">
        <f t="shared" si="22"/>
        <v>3.3912000000000004</v>
      </c>
    </row>
    <row r="158" spans="2:13" ht="12.75">
      <c r="B158" s="20">
        <v>26</v>
      </c>
      <c r="C158" s="20">
        <v>0</v>
      </c>
      <c r="D158" s="20">
        <v>4</v>
      </c>
      <c r="E158" s="20">
        <f t="shared" si="15"/>
        <v>0</v>
      </c>
      <c r="F158" s="20">
        <f t="shared" si="16"/>
        <v>144</v>
      </c>
      <c r="G158" s="22">
        <f t="shared" si="17"/>
        <v>0.0525</v>
      </c>
      <c r="H158" s="20">
        <f t="shared" si="18"/>
        <v>0</v>
      </c>
      <c r="I158" s="20">
        <f t="shared" si="19"/>
        <v>7.56</v>
      </c>
      <c r="K158" s="22">
        <f t="shared" si="20"/>
        <v>0.0417</v>
      </c>
      <c r="L158" s="20">
        <f t="shared" si="21"/>
        <v>0</v>
      </c>
      <c r="M158" s="20">
        <f t="shared" si="22"/>
        <v>6.0048</v>
      </c>
    </row>
    <row r="160" spans="2:13" ht="12.75">
      <c r="B160" s="18" t="s">
        <v>419</v>
      </c>
      <c r="C160" s="18" t="s">
        <v>419</v>
      </c>
      <c r="D160" s="18" t="s">
        <v>419</v>
      </c>
      <c r="E160" s="18" t="s">
        <v>419</v>
      </c>
      <c r="F160" s="18" t="s">
        <v>419</v>
      </c>
      <c r="G160" s="18" t="s">
        <v>419</v>
      </c>
      <c r="H160" s="18" t="s">
        <v>419</v>
      </c>
      <c r="I160" s="18" t="s">
        <v>419</v>
      </c>
      <c r="J160" s="18" t="s">
        <v>419</v>
      </c>
      <c r="K160" s="18" t="s">
        <v>419</v>
      </c>
      <c r="L160" s="18" t="s">
        <v>419</v>
      </c>
      <c r="M160" s="18" t="s">
        <v>419</v>
      </c>
    </row>
    <row r="161" spans="2:13" ht="12.75">
      <c r="B161" s="17" t="s">
        <v>23</v>
      </c>
      <c r="H161" s="20"/>
      <c r="I161" s="20">
        <f>SUM(I150:I158)</f>
        <v>404.69040000000007</v>
      </c>
      <c r="J161" s="17" t="s">
        <v>438</v>
      </c>
      <c r="K161" s="17" t="s">
        <v>438</v>
      </c>
      <c r="L161" s="20"/>
      <c r="M161" s="20">
        <f>SUM(M150:M158)</f>
        <v>343.0584</v>
      </c>
    </row>
    <row r="162" spans="2:13" ht="12.75">
      <c r="B162" s="18" t="s">
        <v>419</v>
      </c>
      <c r="C162" s="18" t="s">
        <v>419</v>
      </c>
      <c r="D162" s="18" t="s">
        <v>419</v>
      </c>
      <c r="E162" s="18" t="s">
        <v>419</v>
      </c>
      <c r="F162" s="18" t="s">
        <v>419</v>
      </c>
      <c r="G162" s="18" t="s">
        <v>419</v>
      </c>
      <c r="H162" s="18" t="s">
        <v>419</v>
      </c>
      <c r="I162" s="18" t="s">
        <v>419</v>
      </c>
      <c r="J162" s="18" t="s">
        <v>419</v>
      </c>
      <c r="K162" s="18" t="s">
        <v>419</v>
      </c>
      <c r="L162" s="18" t="s">
        <v>419</v>
      </c>
      <c r="M162" s="18" t="s">
        <v>419</v>
      </c>
    </row>
    <row r="163" ht="12.75">
      <c r="A163" s="17" t="s">
        <v>467</v>
      </c>
    </row>
    <row r="164" spans="2:8" ht="12.75">
      <c r="B164" s="17" t="s">
        <v>518</v>
      </c>
      <c r="H164" s="17" t="s">
        <v>519</v>
      </c>
    </row>
    <row r="165" spans="2:8" ht="12.75">
      <c r="B165" s="18" t="s">
        <v>419</v>
      </c>
      <c r="C165" s="18" t="s">
        <v>419</v>
      </c>
      <c r="D165" s="18" t="s">
        <v>419</v>
      </c>
      <c r="E165" s="18" t="s">
        <v>419</v>
      </c>
      <c r="H165" s="18" t="s">
        <v>419</v>
      </c>
    </row>
    <row r="166" ht="12.75">
      <c r="E166" s="17" t="s">
        <v>520</v>
      </c>
    </row>
    <row r="167" spans="5:7" ht="12.75">
      <c r="E167" s="18" t="s">
        <v>419</v>
      </c>
      <c r="F167" s="18" t="s">
        <v>419</v>
      </c>
      <c r="G167" s="18" t="s">
        <v>419</v>
      </c>
    </row>
    <row r="168" spans="2:24" ht="12.75">
      <c r="B168" s="18" t="s">
        <v>419</v>
      </c>
      <c r="C168" s="18" t="s">
        <v>419</v>
      </c>
      <c r="D168" s="18" t="s">
        <v>419</v>
      </c>
      <c r="E168" s="18" t="s">
        <v>419</v>
      </c>
      <c r="F168" s="18" t="s">
        <v>419</v>
      </c>
      <c r="G168" s="18" t="s">
        <v>419</v>
      </c>
      <c r="H168" s="18" t="s">
        <v>419</v>
      </c>
      <c r="I168" s="18" t="s">
        <v>419</v>
      </c>
      <c r="J168" s="18" t="s">
        <v>419</v>
      </c>
      <c r="K168" s="18" t="s">
        <v>419</v>
      </c>
      <c r="L168" s="18" t="s">
        <v>419</v>
      </c>
      <c r="M168" s="18" t="s">
        <v>419</v>
      </c>
      <c r="N168" s="18" t="s">
        <v>419</v>
      </c>
      <c r="O168" s="18" t="s">
        <v>419</v>
      </c>
      <c r="P168" s="18" t="s">
        <v>419</v>
      </c>
      <c r="Q168" s="18" t="s">
        <v>419</v>
      </c>
      <c r="R168" s="18" t="s">
        <v>419</v>
      </c>
      <c r="S168" s="18" t="s">
        <v>419</v>
      </c>
      <c r="T168" s="18" t="s">
        <v>419</v>
      </c>
      <c r="U168" s="18" t="s">
        <v>419</v>
      </c>
      <c r="V168" s="18" t="s">
        <v>419</v>
      </c>
      <c r="W168" s="18" t="s">
        <v>419</v>
      </c>
      <c r="X168" s="18" t="s">
        <v>419</v>
      </c>
    </row>
    <row r="169" spans="5:17" ht="12.75">
      <c r="E169" s="17" t="s">
        <v>521</v>
      </c>
      <c r="H169" s="17" t="s">
        <v>522</v>
      </c>
      <c r="K169" s="17" t="s">
        <v>523</v>
      </c>
      <c r="Q169" s="17" t="s">
        <v>524</v>
      </c>
    </row>
    <row r="170" spans="3:21" ht="12.75">
      <c r="C170" s="17" t="s">
        <v>438</v>
      </c>
      <c r="E170" s="18" t="s">
        <v>419</v>
      </c>
      <c r="F170" s="18" t="s">
        <v>419</v>
      </c>
      <c r="H170" s="18" t="s">
        <v>419</v>
      </c>
      <c r="I170" s="18" t="s">
        <v>419</v>
      </c>
      <c r="J170" s="17" t="s">
        <v>438</v>
      </c>
      <c r="K170" s="18" t="s">
        <v>419</v>
      </c>
      <c r="L170" s="18" t="s">
        <v>419</v>
      </c>
      <c r="M170" s="18" t="s">
        <v>419</v>
      </c>
      <c r="N170" s="18" t="s">
        <v>419</v>
      </c>
      <c r="Q170" s="18" t="s">
        <v>419</v>
      </c>
      <c r="R170" s="18" t="s">
        <v>419</v>
      </c>
      <c r="S170" s="18" t="s">
        <v>419</v>
      </c>
      <c r="T170" s="18" t="s">
        <v>419</v>
      </c>
      <c r="U170" s="18" t="s">
        <v>419</v>
      </c>
    </row>
    <row r="171" spans="17:23" ht="12.75">
      <c r="Q171" s="20" t="str">
        <f>H100</f>
        <v>At 12 %</v>
      </c>
      <c r="R171" s="17" t="s">
        <v>494</v>
      </c>
      <c r="V171" s="20" t="str">
        <f>H102</f>
        <v>At 13 %</v>
      </c>
      <c r="W171" s="17" t="s">
        <v>494</v>
      </c>
    </row>
    <row r="172" spans="2:24" ht="12.75">
      <c r="B172" s="17" t="s">
        <v>12</v>
      </c>
      <c r="C172" s="17" t="s">
        <v>12</v>
      </c>
      <c r="F172" s="19" t="s">
        <v>525</v>
      </c>
      <c r="G172" s="19" t="s">
        <v>525</v>
      </c>
      <c r="H172" s="17" t="s">
        <v>526</v>
      </c>
      <c r="J172" s="17" t="s">
        <v>426</v>
      </c>
      <c r="K172" s="17" t="s">
        <v>526</v>
      </c>
      <c r="M172" s="17" t="s">
        <v>426</v>
      </c>
      <c r="Q172" s="18" t="s">
        <v>419</v>
      </c>
      <c r="R172" s="18" t="s">
        <v>419</v>
      </c>
      <c r="S172" s="18" t="s">
        <v>419</v>
      </c>
      <c r="V172" s="18" t="s">
        <v>419</v>
      </c>
      <c r="W172" s="18" t="s">
        <v>419</v>
      </c>
      <c r="X172" s="18" t="s">
        <v>419</v>
      </c>
    </row>
    <row r="173" spans="4:24" ht="12.75">
      <c r="D173" s="17" t="s">
        <v>485</v>
      </c>
      <c r="E173" s="17" t="s">
        <v>482</v>
      </c>
      <c r="F173" s="19" t="s">
        <v>527</v>
      </c>
      <c r="G173" s="19" t="s">
        <v>426</v>
      </c>
      <c r="H173" s="17" t="s">
        <v>528</v>
      </c>
      <c r="J173" s="17" t="s">
        <v>529</v>
      </c>
      <c r="K173" s="24" t="s">
        <v>530</v>
      </c>
      <c r="M173" s="24" t="s">
        <v>531</v>
      </c>
      <c r="O173" s="21" t="s">
        <v>516</v>
      </c>
      <c r="P173" s="21" t="s">
        <v>516</v>
      </c>
      <c r="Q173" s="17" t="s">
        <v>532</v>
      </c>
      <c r="R173" s="21" t="s">
        <v>500</v>
      </c>
      <c r="S173" s="21" t="s">
        <v>426</v>
      </c>
      <c r="T173" s="21" t="s">
        <v>516</v>
      </c>
      <c r="U173" s="21" t="s">
        <v>516</v>
      </c>
      <c r="V173" s="17" t="s">
        <v>532</v>
      </c>
      <c r="W173" s="21" t="s">
        <v>500</v>
      </c>
      <c r="X173" s="21" t="s">
        <v>426</v>
      </c>
    </row>
    <row r="174" spans="2:24" ht="12.75">
      <c r="B174" s="18" t="s">
        <v>419</v>
      </c>
      <c r="C174" s="18" t="s">
        <v>419</v>
      </c>
      <c r="D174" s="18" t="s">
        <v>419</v>
      </c>
      <c r="E174" s="18" t="s">
        <v>419</v>
      </c>
      <c r="F174" s="18" t="s">
        <v>419</v>
      </c>
      <c r="G174" s="18" t="s">
        <v>419</v>
      </c>
      <c r="H174" s="18" t="s">
        <v>419</v>
      </c>
      <c r="I174" s="18" t="s">
        <v>419</v>
      </c>
      <c r="J174" s="18" t="s">
        <v>419</v>
      </c>
      <c r="K174" s="18" t="s">
        <v>419</v>
      </c>
      <c r="L174" s="18" t="s">
        <v>419</v>
      </c>
      <c r="M174" s="18" t="s">
        <v>419</v>
      </c>
      <c r="N174" s="18" t="s">
        <v>419</v>
      </c>
      <c r="O174" s="18" t="s">
        <v>419</v>
      </c>
      <c r="P174" s="18" t="s">
        <v>419</v>
      </c>
      <c r="Q174" s="18" t="s">
        <v>419</v>
      </c>
      <c r="R174" s="18" t="s">
        <v>419</v>
      </c>
      <c r="S174" s="18" t="s">
        <v>419</v>
      </c>
      <c r="T174" s="18" t="s">
        <v>419</v>
      </c>
      <c r="U174" s="18" t="s">
        <v>419</v>
      </c>
      <c r="V174" s="18" t="s">
        <v>419</v>
      </c>
      <c r="W174" s="18" t="s">
        <v>419</v>
      </c>
      <c r="X174" s="18" t="s">
        <v>419</v>
      </c>
    </row>
    <row r="175" spans="2:24" ht="12.75">
      <c r="B175" s="20">
        <v>0</v>
      </c>
      <c r="C175" s="20">
        <v>0</v>
      </c>
      <c r="D175" s="20">
        <f aca="true" t="shared" si="23" ref="D175:D183">$C$82</f>
        <v>500</v>
      </c>
      <c r="E175" s="20">
        <f aca="true" t="shared" si="24" ref="E175:E180">$C$86</f>
        <v>1000</v>
      </c>
      <c r="F175" s="20">
        <v>10475</v>
      </c>
      <c r="G175" s="20">
        <v>10477</v>
      </c>
      <c r="H175" s="20">
        <f aca="true" t="shared" si="25" ref="H175:H183">D175*$G$40+E175*$G$38+F175*$G$36</f>
        <v>121356.25</v>
      </c>
      <c r="I175" s="22"/>
      <c r="J175" s="20">
        <f aca="true" t="shared" si="26" ref="J175:J183">D175*$H$40+E175*$H$38+G175*$H$36</f>
        <v>42299.33</v>
      </c>
      <c r="K175" s="20">
        <f aca="true" t="shared" si="27" ref="K175:K183">0.98*(H175*$G$22)/100</f>
        <v>2033.6880374999998</v>
      </c>
      <c r="M175" s="20">
        <f aca="true" t="shared" si="28" ref="M175:M183">(J175*$H$20)/100000</f>
        <v>2749.45645</v>
      </c>
      <c r="O175" s="22">
        <f>ROUND((1/((1+$E$100)^B175)),4)</f>
        <v>1</v>
      </c>
      <c r="P175" s="22">
        <f aca="true" t="shared" si="29" ref="P175:P183">ROUND((((1+$E$100)^(B175))-1)/(($E$100)*((1+$E$100)^B175)),4)</f>
        <v>0</v>
      </c>
      <c r="Q175" s="22">
        <f aca="true" t="shared" si="30" ref="Q175:Q183">O175-P175</f>
        <v>1</v>
      </c>
      <c r="R175" s="20">
        <f aca="true" t="shared" si="31" ref="R175:R183">(K175*Q175)</f>
        <v>2033.6880374999998</v>
      </c>
      <c r="S175" s="20">
        <f aca="true" t="shared" si="32" ref="S175:S183">M175*Q175</f>
        <v>2749.45645</v>
      </c>
      <c r="T175" s="22">
        <f>ROUND((1/((1+$E$100)^B137)),4)</f>
        <v>1</v>
      </c>
      <c r="U175" s="22">
        <f aca="true" t="shared" si="33" ref="U175:U182">ROUND((((1+$E$102)^(B175))-1)/(($E$102)*((1+$E$102)^B175)),4)</f>
        <v>0</v>
      </c>
      <c r="V175" s="22">
        <f aca="true" t="shared" si="34" ref="V175:V183">T175-U175</f>
        <v>1</v>
      </c>
      <c r="W175" s="20">
        <f aca="true" t="shared" si="35" ref="W175:W183">(K175*V175)</f>
        <v>2033.6880374999998</v>
      </c>
      <c r="X175" s="20">
        <f aca="true" t="shared" si="36" ref="X175:X183">M175*V175</f>
        <v>2749.45645</v>
      </c>
    </row>
    <row r="176" spans="2:24" ht="12.75">
      <c r="B176" s="20">
        <v>0</v>
      </c>
      <c r="C176" s="20">
        <v>1</v>
      </c>
      <c r="D176" s="20">
        <f t="shared" si="23"/>
        <v>500</v>
      </c>
      <c r="E176" s="20">
        <f t="shared" si="24"/>
        <v>1000</v>
      </c>
      <c r="F176" s="20">
        <v>10852</v>
      </c>
      <c r="G176" s="20">
        <v>10855</v>
      </c>
      <c r="H176" s="20">
        <f t="shared" si="25"/>
        <v>124655</v>
      </c>
      <c r="I176" s="22"/>
      <c r="J176" s="20">
        <f t="shared" si="26"/>
        <v>43542.95</v>
      </c>
      <c r="K176" s="20">
        <f t="shared" si="27"/>
        <v>2088.9684899999997</v>
      </c>
      <c r="M176" s="20">
        <f t="shared" si="28"/>
        <v>2830.29175</v>
      </c>
      <c r="O176" s="22">
        <f aca="true" t="shared" si="37" ref="O176:O183">ROUND((((1+$E$100)^(C176))-1)/(($E$100)*((1+$E$100)^C176)),4)</f>
        <v>0.8929</v>
      </c>
      <c r="P176" s="22">
        <f t="shared" si="29"/>
        <v>0</v>
      </c>
      <c r="Q176" s="22">
        <f t="shared" si="30"/>
        <v>0.8929</v>
      </c>
      <c r="R176" s="20">
        <f t="shared" si="31"/>
        <v>1865.2399647209998</v>
      </c>
      <c r="S176" s="20">
        <f t="shared" si="32"/>
        <v>2527.167503575</v>
      </c>
      <c r="T176" s="22">
        <f aca="true" t="shared" si="38" ref="T176:T183">ROUND((((1+$E$102)^(C176))-1)/(($E$102)*((1+$E$102)^C176)),4)</f>
        <v>0.885</v>
      </c>
      <c r="U176" s="22">
        <f t="shared" si="33"/>
        <v>0</v>
      </c>
      <c r="V176" s="22">
        <f t="shared" si="34"/>
        <v>0.885</v>
      </c>
      <c r="W176" s="20">
        <f t="shared" si="35"/>
        <v>1848.7371136499999</v>
      </c>
      <c r="X176" s="20">
        <f t="shared" si="36"/>
        <v>2504.80819875</v>
      </c>
    </row>
    <row r="177" spans="2:24" ht="12.75">
      <c r="B177" s="20">
        <v>1</v>
      </c>
      <c r="C177" s="20">
        <v>2</v>
      </c>
      <c r="D177" s="20">
        <f t="shared" si="23"/>
        <v>500</v>
      </c>
      <c r="E177" s="20">
        <f t="shared" si="24"/>
        <v>1000</v>
      </c>
      <c r="F177" s="20">
        <v>11211</v>
      </c>
      <c r="G177" s="20">
        <v>11214</v>
      </c>
      <c r="H177" s="20">
        <f t="shared" si="25"/>
        <v>127796.25</v>
      </c>
      <c r="I177" s="22"/>
      <c r="J177" s="20">
        <f t="shared" si="26"/>
        <v>44724.06</v>
      </c>
      <c r="K177" s="20">
        <f t="shared" si="27"/>
        <v>2141.6095575</v>
      </c>
      <c r="M177" s="20">
        <f t="shared" si="28"/>
        <v>2907.0639</v>
      </c>
      <c r="O177" s="22">
        <f t="shared" si="37"/>
        <v>1.6901</v>
      </c>
      <c r="P177" s="22">
        <f t="shared" si="29"/>
        <v>0.8929</v>
      </c>
      <c r="Q177" s="22">
        <f t="shared" si="30"/>
        <v>0.7971999999999999</v>
      </c>
      <c r="R177" s="20">
        <f t="shared" si="31"/>
        <v>1707.2911392389997</v>
      </c>
      <c r="S177" s="20">
        <f t="shared" si="32"/>
        <v>2317.51134108</v>
      </c>
      <c r="T177" s="22">
        <f t="shared" si="38"/>
        <v>1.6681</v>
      </c>
      <c r="U177" s="22">
        <f t="shared" si="33"/>
        <v>0.885</v>
      </c>
      <c r="V177" s="22">
        <f t="shared" si="34"/>
        <v>0.7830999999999999</v>
      </c>
      <c r="W177" s="20">
        <f t="shared" si="35"/>
        <v>1677.0944444782497</v>
      </c>
      <c r="X177" s="20">
        <f t="shared" si="36"/>
        <v>2276.5217400899996</v>
      </c>
    </row>
    <row r="178" spans="2:24" ht="12.75">
      <c r="B178" s="20">
        <v>2</v>
      </c>
      <c r="C178" s="20">
        <v>3</v>
      </c>
      <c r="D178" s="20">
        <f t="shared" si="23"/>
        <v>500</v>
      </c>
      <c r="E178" s="20">
        <f t="shared" si="24"/>
        <v>1000</v>
      </c>
      <c r="F178" s="20">
        <v>11584</v>
      </c>
      <c r="G178" s="20">
        <v>11587</v>
      </c>
      <c r="H178" s="20">
        <f t="shared" si="25"/>
        <v>131060</v>
      </c>
      <c r="I178" s="22"/>
      <c r="J178" s="20">
        <f t="shared" si="26"/>
        <v>45951.23</v>
      </c>
      <c r="K178" s="20">
        <f t="shared" si="27"/>
        <v>2196.30348</v>
      </c>
      <c r="M178" s="20">
        <f t="shared" si="28"/>
        <v>2986.82995</v>
      </c>
      <c r="O178" s="22">
        <f t="shared" si="37"/>
        <v>2.4018</v>
      </c>
      <c r="P178" s="22">
        <f t="shared" si="29"/>
        <v>1.6901</v>
      </c>
      <c r="Q178" s="22">
        <f t="shared" si="30"/>
        <v>0.7117000000000002</v>
      </c>
      <c r="R178" s="20">
        <f t="shared" si="31"/>
        <v>1563.1091867160005</v>
      </c>
      <c r="S178" s="20">
        <f t="shared" si="32"/>
        <v>2125.7268754150004</v>
      </c>
      <c r="T178" s="22">
        <f t="shared" si="38"/>
        <v>2.3612</v>
      </c>
      <c r="U178" s="22">
        <f t="shared" si="33"/>
        <v>1.6681</v>
      </c>
      <c r="V178" s="22">
        <f t="shared" si="34"/>
        <v>0.6931000000000003</v>
      </c>
      <c r="W178" s="20">
        <f t="shared" si="35"/>
        <v>1522.2579419880005</v>
      </c>
      <c r="X178" s="20">
        <f t="shared" si="36"/>
        <v>2070.1718383450007</v>
      </c>
    </row>
    <row r="179" spans="2:24" ht="12.75">
      <c r="B179" s="20">
        <v>3</v>
      </c>
      <c r="C179" s="20">
        <v>4</v>
      </c>
      <c r="D179" s="20">
        <f t="shared" si="23"/>
        <v>500</v>
      </c>
      <c r="E179" s="20">
        <f t="shared" si="24"/>
        <v>1000</v>
      </c>
      <c r="F179" s="20">
        <v>11963</v>
      </c>
      <c r="G179" s="20">
        <v>11966</v>
      </c>
      <c r="H179" s="20">
        <f t="shared" si="25"/>
        <v>134376.25</v>
      </c>
      <c r="I179" s="22"/>
      <c r="J179" s="20">
        <f t="shared" si="26"/>
        <v>47198.14</v>
      </c>
      <c r="K179" s="20">
        <f t="shared" si="27"/>
        <v>2251.8771975</v>
      </c>
      <c r="M179" s="20">
        <f t="shared" si="28"/>
        <v>3067.8791</v>
      </c>
      <c r="O179" s="22">
        <f t="shared" si="37"/>
        <v>3.0373</v>
      </c>
      <c r="P179" s="22">
        <f t="shared" si="29"/>
        <v>2.4018</v>
      </c>
      <c r="Q179" s="22">
        <f t="shared" si="30"/>
        <v>0.6355</v>
      </c>
      <c r="R179" s="20">
        <f t="shared" si="31"/>
        <v>1431.06795901125</v>
      </c>
      <c r="S179" s="20">
        <f t="shared" si="32"/>
        <v>1949.63716805</v>
      </c>
      <c r="T179" s="22">
        <f t="shared" si="38"/>
        <v>2.9745</v>
      </c>
      <c r="U179" s="22">
        <f t="shared" si="33"/>
        <v>2.3612</v>
      </c>
      <c r="V179" s="22">
        <f t="shared" si="34"/>
        <v>0.6132999999999997</v>
      </c>
      <c r="W179" s="20">
        <f t="shared" si="35"/>
        <v>1381.0762852267494</v>
      </c>
      <c r="X179" s="20">
        <f t="shared" si="36"/>
        <v>1881.5302520299992</v>
      </c>
    </row>
    <row r="180" spans="2:24" ht="12.75">
      <c r="B180" s="20">
        <v>4</v>
      </c>
      <c r="C180" s="20">
        <v>5</v>
      </c>
      <c r="D180" s="20">
        <f t="shared" si="23"/>
        <v>500</v>
      </c>
      <c r="E180" s="20">
        <f t="shared" si="24"/>
        <v>1000</v>
      </c>
      <c r="F180" s="20">
        <v>12343</v>
      </c>
      <c r="G180" s="20">
        <v>12346</v>
      </c>
      <c r="H180" s="20">
        <f t="shared" si="25"/>
        <v>137701.25</v>
      </c>
      <c r="I180" s="22"/>
      <c r="J180" s="20">
        <f t="shared" si="26"/>
        <v>48448.340000000004</v>
      </c>
      <c r="K180" s="20">
        <f t="shared" si="27"/>
        <v>2307.5975475</v>
      </c>
      <c r="M180" s="20">
        <f t="shared" si="28"/>
        <v>3149.1421</v>
      </c>
      <c r="O180" s="22">
        <f t="shared" si="37"/>
        <v>3.6048</v>
      </c>
      <c r="P180" s="22">
        <f t="shared" si="29"/>
        <v>3.0373</v>
      </c>
      <c r="Q180" s="22">
        <f t="shared" si="30"/>
        <v>0.5674999999999999</v>
      </c>
      <c r="R180" s="20">
        <f t="shared" si="31"/>
        <v>1309.5616082062497</v>
      </c>
      <c r="S180" s="20">
        <f t="shared" si="32"/>
        <v>1787.1381417499997</v>
      </c>
      <c r="T180" s="22">
        <f t="shared" si="38"/>
        <v>3.5172</v>
      </c>
      <c r="U180" s="22">
        <f t="shared" si="33"/>
        <v>2.9745</v>
      </c>
      <c r="V180" s="22">
        <f t="shared" si="34"/>
        <v>0.5427</v>
      </c>
      <c r="W180" s="20">
        <f t="shared" si="35"/>
        <v>1252.33318902825</v>
      </c>
      <c r="X180" s="20">
        <f t="shared" si="36"/>
        <v>1709.03941767</v>
      </c>
    </row>
    <row r="181" spans="2:24" ht="12.75">
      <c r="B181" s="20">
        <v>5</v>
      </c>
      <c r="C181" s="20">
        <v>6</v>
      </c>
      <c r="D181" s="20">
        <f t="shared" si="23"/>
        <v>500</v>
      </c>
      <c r="E181" s="20">
        <v>1167</v>
      </c>
      <c r="F181" s="20">
        <v>12698</v>
      </c>
      <c r="G181" s="20">
        <v>12701</v>
      </c>
      <c r="H181" s="20">
        <f t="shared" si="25"/>
        <v>144114.1</v>
      </c>
      <c r="I181" s="22"/>
      <c r="J181" s="20">
        <f t="shared" si="26"/>
        <v>50488.03</v>
      </c>
      <c r="K181" s="20">
        <f t="shared" si="27"/>
        <v>2415.0640878</v>
      </c>
      <c r="M181" s="20">
        <f t="shared" si="28"/>
        <v>3281.72195</v>
      </c>
      <c r="O181" s="22">
        <f t="shared" si="37"/>
        <v>4.1114</v>
      </c>
      <c r="P181" s="22">
        <f t="shared" si="29"/>
        <v>3.6048</v>
      </c>
      <c r="Q181" s="22">
        <f t="shared" si="30"/>
        <v>0.5065999999999997</v>
      </c>
      <c r="R181" s="20">
        <f t="shared" si="31"/>
        <v>1223.4714668794793</v>
      </c>
      <c r="S181" s="20">
        <f t="shared" si="32"/>
        <v>1662.5203398699991</v>
      </c>
      <c r="T181" s="22">
        <f t="shared" si="38"/>
        <v>3.9975</v>
      </c>
      <c r="U181" s="22">
        <f t="shared" si="33"/>
        <v>3.5172</v>
      </c>
      <c r="V181" s="22">
        <f t="shared" si="34"/>
        <v>0.48030000000000017</v>
      </c>
      <c r="W181" s="20">
        <f t="shared" si="35"/>
        <v>1159.9552813703403</v>
      </c>
      <c r="X181" s="20">
        <f t="shared" si="36"/>
        <v>1576.2110525850005</v>
      </c>
    </row>
    <row r="182" spans="2:24" ht="12.75">
      <c r="B182" s="20">
        <v>6</v>
      </c>
      <c r="C182" s="20">
        <v>7</v>
      </c>
      <c r="D182" s="20">
        <f t="shared" si="23"/>
        <v>500</v>
      </c>
      <c r="E182" s="20">
        <v>1167</v>
      </c>
      <c r="F182" s="20">
        <v>13078</v>
      </c>
      <c r="G182" s="20">
        <v>13081</v>
      </c>
      <c r="H182" s="20">
        <f t="shared" si="25"/>
        <v>147439.1</v>
      </c>
      <c r="I182" s="22"/>
      <c r="J182" s="20">
        <f t="shared" si="26"/>
        <v>51738.229999999996</v>
      </c>
      <c r="K182" s="20">
        <f t="shared" si="27"/>
        <v>2470.7844378</v>
      </c>
      <c r="M182" s="20">
        <f t="shared" si="28"/>
        <v>3362.98495</v>
      </c>
      <c r="O182" s="22">
        <f t="shared" si="37"/>
        <v>4.5638</v>
      </c>
      <c r="P182" s="22">
        <f t="shared" si="29"/>
        <v>4.1114</v>
      </c>
      <c r="Q182" s="22">
        <f t="shared" si="30"/>
        <v>0.4523999999999999</v>
      </c>
      <c r="R182" s="20">
        <f t="shared" si="31"/>
        <v>1117.7828796607198</v>
      </c>
      <c r="S182" s="20">
        <f t="shared" si="32"/>
        <v>1521.4143913799996</v>
      </c>
      <c r="T182" s="22">
        <f t="shared" si="38"/>
        <v>4.4226</v>
      </c>
      <c r="U182" s="22">
        <f t="shared" si="33"/>
        <v>3.9975</v>
      </c>
      <c r="V182" s="22">
        <f t="shared" si="34"/>
        <v>0.42510000000000003</v>
      </c>
      <c r="W182" s="20">
        <f t="shared" si="35"/>
        <v>1050.33046450878</v>
      </c>
      <c r="X182" s="20">
        <f t="shared" si="36"/>
        <v>1429.6049022450002</v>
      </c>
    </row>
    <row r="183" spans="2:24" ht="12.75">
      <c r="B183" s="20">
        <v>7</v>
      </c>
      <c r="C183" s="20">
        <v>30</v>
      </c>
      <c r="D183" s="20">
        <f t="shared" si="23"/>
        <v>500</v>
      </c>
      <c r="E183" s="20">
        <v>1333</v>
      </c>
      <c r="F183" s="20">
        <v>13457</v>
      </c>
      <c r="G183" s="20">
        <v>13460</v>
      </c>
      <c r="H183" s="20">
        <f t="shared" si="25"/>
        <v>154042.15</v>
      </c>
      <c r="I183" s="22"/>
      <c r="J183" s="20">
        <f t="shared" si="26"/>
        <v>53851.66</v>
      </c>
      <c r="K183" s="20">
        <f t="shared" si="27"/>
        <v>2581.4383497</v>
      </c>
      <c r="M183" s="20">
        <f t="shared" si="28"/>
        <v>3500.3579</v>
      </c>
      <c r="O183" s="22">
        <f t="shared" si="37"/>
        <v>8.0552</v>
      </c>
      <c r="P183" s="22">
        <f t="shared" si="29"/>
        <v>4.5638</v>
      </c>
      <c r="Q183" s="22">
        <f t="shared" si="30"/>
        <v>3.4913999999999996</v>
      </c>
      <c r="R183" s="20">
        <f t="shared" si="31"/>
        <v>9012.833854142578</v>
      </c>
      <c r="S183" s="20">
        <f t="shared" si="32"/>
        <v>12221.149572059998</v>
      </c>
      <c r="T183" s="22">
        <f t="shared" si="38"/>
        <v>7.4957</v>
      </c>
      <c r="U183" s="22">
        <f>ROUND((((1+$E$102)^(C182))-1)/(($E$102)*((1+$E$102)^C182)),4)</f>
        <v>4.4226</v>
      </c>
      <c r="V183" s="22">
        <f t="shared" si="34"/>
        <v>3.0731</v>
      </c>
      <c r="W183" s="20">
        <f t="shared" si="35"/>
        <v>7933.01819246307</v>
      </c>
      <c r="X183" s="20">
        <f t="shared" si="36"/>
        <v>10756.94986249</v>
      </c>
    </row>
    <row r="185" spans="2:24" ht="12.75">
      <c r="B185" s="18" t="s">
        <v>419</v>
      </c>
      <c r="C185" s="18" t="s">
        <v>419</v>
      </c>
      <c r="D185" s="18" t="s">
        <v>419</v>
      </c>
      <c r="E185" s="18" t="s">
        <v>419</v>
      </c>
      <c r="F185" s="18" t="s">
        <v>419</v>
      </c>
      <c r="G185" s="18" t="s">
        <v>419</v>
      </c>
      <c r="H185" s="18" t="s">
        <v>419</v>
      </c>
      <c r="I185" s="18" t="s">
        <v>419</v>
      </c>
      <c r="J185" s="18" t="s">
        <v>419</v>
      </c>
      <c r="K185" s="18" t="s">
        <v>419</v>
      </c>
      <c r="L185" s="18" t="s">
        <v>419</v>
      </c>
      <c r="M185" s="18" t="s">
        <v>419</v>
      </c>
      <c r="N185" s="18" t="s">
        <v>419</v>
      </c>
      <c r="O185" s="18" t="s">
        <v>419</v>
      </c>
      <c r="P185" s="18" t="s">
        <v>419</v>
      </c>
      <c r="Q185" s="18" t="s">
        <v>419</v>
      </c>
      <c r="R185" s="18" t="s">
        <v>419</v>
      </c>
      <c r="S185" s="18" t="s">
        <v>419</v>
      </c>
      <c r="T185" s="18" t="s">
        <v>419</v>
      </c>
      <c r="U185" s="18" t="s">
        <v>419</v>
      </c>
      <c r="V185" s="18" t="s">
        <v>419</v>
      </c>
      <c r="W185" s="18" t="s">
        <v>419</v>
      </c>
      <c r="X185" s="18" t="s">
        <v>419</v>
      </c>
    </row>
    <row r="186" spans="2:24" ht="12.75">
      <c r="B186" s="17" t="s">
        <v>23</v>
      </c>
      <c r="K186" s="22"/>
      <c r="R186" s="20">
        <f>SUM(R175:R183)</f>
        <v>21264.046096076276</v>
      </c>
      <c r="S186" s="20">
        <f>SUM(S175:S183)</f>
        <v>28861.721783179994</v>
      </c>
      <c r="W186" s="20">
        <f>SUM(W175:W183)</f>
        <v>19858.49095021344</v>
      </c>
      <c r="X186" s="20">
        <f>SUM(X175:X183)</f>
        <v>26954.293714205</v>
      </c>
    </row>
    <row r="187" spans="2:24" ht="12.75">
      <c r="B187" s="18" t="s">
        <v>419</v>
      </c>
      <c r="C187" s="18" t="s">
        <v>419</v>
      </c>
      <c r="D187" s="18" t="s">
        <v>419</v>
      </c>
      <c r="E187" s="18" t="s">
        <v>419</v>
      </c>
      <c r="F187" s="18" t="s">
        <v>419</v>
      </c>
      <c r="G187" s="18" t="s">
        <v>419</v>
      </c>
      <c r="H187" s="18" t="s">
        <v>419</v>
      </c>
      <c r="I187" s="18" t="s">
        <v>419</v>
      </c>
      <c r="J187" s="18" t="s">
        <v>419</v>
      </c>
      <c r="K187" s="18" t="s">
        <v>419</v>
      </c>
      <c r="L187" s="18" t="s">
        <v>419</v>
      </c>
      <c r="M187" s="18" t="s">
        <v>419</v>
      </c>
      <c r="N187" s="18" t="s">
        <v>419</v>
      </c>
      <c r="O187" s="18" t="s">
        <v>419</v>
      </c>
      <c r="P187" s="18" t="s">
        <v>419</v>
      </c>
      <c r="Q187" s="18" t="s">
        <v>419</v>
      </c>
      <c r="R187" s="18" t="s">
        <v>419</v>
      </c>
      <c r="S187" s="18" t="s">
        <v>419</v>
      </c>
      <c r="T187" s="18" t="s">
        <v>419</v>
      </c>
      <c r="U187" s="18" t="s">
        <v>419</v>
      </c>
      <c r="V187" s="18" t="s">
        <v>419</v>
      </c>
      <c r="W187" s="18" t="s">
        <v>419</v>
      </c>
      <c r="X187" s="18" t="s">
        <v>419</v>
      </c>
    </row>
    <row r="189" spans="2:8" ht="12.75">
      <c r="B189" s="17" t="s">
        <v>533</v>
      </c>
      <c r="H189" s="17" t="s">
        <v>534</v>
      </c>
    </row>
    <row r="190" spans="2:8" ht="12.75">
      <c r="B190" s="18" t="s">
        <v>419</v>
      </c>
      <c r="C190" s="18" t="s">
        <v>419</v>
      </c>
      <c r="D190" s="18" t="s">
        <v>419</v>
      </c>
      <c r="E190" s="18" t="s">
        <v>419</v>
      </c>
      <c r="H190" s="18" t="s">
        <v>419</v>
      </c>
    </row>
    <row r="191" ht="12.75">
      <c r="E191" s="17" t="s">
        <v>535</v>
      </c>
    </row>
    <row r="192" spans="5:7" ht="12.75">
      <c r="E192" s="18" t="s">
        <v>419</v>
      </c>
      <c r="F192" s="18" t="s">
        <v>419</v>
      </c>
      <c r="G192" s="18" t="s">
        <v>419</v>
      </c>
    </row>
    <row r="193" spans="2:24" ht="12.75">
      <c r="B193" s="18" t="s">
        <v>419</v>
      </c>
      <c r="C193" s="18" t="s">
        <v>419</v>
      </c>
      <c r="D193" s="18" t="s">
        <v>419</v>
      </c>
      <c r="E193" s="18" t="s">
        <v>419</v>
      </c>
      <c r="F193" s="18" t="s">
        <v>419</v>
      </c>
      <c r="G193" s="18" t="s">
        <v>419</v>
      </c>
      <c r="H193" s="18" t="s">
        <v>419</v>
      </c>
      <c r="I193" s="18" t="s">
        <v>419</v>
      </c>
      <c r="J193" s="18" t="s">
        <v>419</v>
      </c>
      <c r="K193" s="18" t="s">
        <v>419</v>
      </c>
      <c r="L193" s="18" t="s">
        <v>419</v>
      </c>
      <c r="M193" s="18" t="s">
        <v>419</v>
      </c>
      <c r="N193" s="18" t="s">
        <v>419</v>
      </c>
      <c r="O193" s="18" t="s">
        <v>419</v>
      </c>
      <c r="P193" s="18" t="s">
        <v>419</v>
      </c>
      <c r="Q193" s="18" t="s">
        <v>419</v>
      </c>
      <c r="R193" s="18" t="s">
        <v>419</v>
      </c>
      <c r="S193" s="18" t="s">
        <v>419</v>
      </c>
      <c r="T193" s="18" t="s">
        <v>419</v>
      </c>
      <c r="U193" s="18" t="s">
        <v>419</v>
      </c>
      <c r="V193" s="18" t="s">
        <v>419</v>
      </c>
      <c r="W193" s="18" t="s">
        <v>419</v>
      </c>
      <c r="X193" s="18" t="s">
        <v>419</v>
      </c>
    </row>
    <row r="194" spans="3:22" ht="12.75">
      <c r="C194" s="17" t="s">
        <v>438</v>
      </c>
      <c r="D194" s="17" t="s">
        <v>536</v>
      </c>
      <c r="H194" s="17" t="s">
        <v>537</v>
      </c>
      <c r="K194" s="17" t="s">
        <v>538</v>
      </c>
      <c r="P194" s="20" t="str">
        <f>H100</f>
        <v>At 12 %</v>
      </c>
      <c r="Q194" s="17" t="s">
        <v>494</v>
      </c>
      <c r="U194" s="20" t="str">
        <f>H102</f>
        <v>At 13 %</v>
      </c>
      <c r="V194" s="17" t="s">
        <v>494</v>
      </c>
    </row>
    <row r="195" spans="2:23" ht="12.75">
      <c r="B195" s="17" t="s">
        <v>12</v>
      </c>
      <c r="C195" s="17" t="s">
        <v>12</v>
      </c>
      <c r="D195" s="18" t="s">
        <v>419</v>
      </c>
      <c r="E195" s="18" t="s">
        <v>419</v>
      </c>
      <c r="F195" s="21" t="s">
        <v>525</v>
      </c>
      <c r="G195" s="17" t="s">
        <v>438</v>
      </c>
      <c r="H195" s="18" t="s">
        <v>419</v>
      </c>
      <c r="I195" s="18" t="s">
        <v>419</v>
      </c>
      <c r="J195" s="18" t="s">
        <v>419</v>
      </c>
      <c r="K195" s="18" t="s">
        <v>419</v>
      </c>
      <c r="L195" s="18" t="s">
        <v>419</v>
      </c>
      <c r="M195" s="18" t="s">
        <v>419</v>
      </c>
      <c r="P195" s="18" t="s">
        <v>419</v>
      </c>
      <c r="Q195" s="18" t="s">
        <v>419</v>
      </c>
      <c r="R195" s="18" t="s">
        <v>419</v>
      </c>
      <c r="U195" s="18" t="s">
        <v>419</v>
      </c>
      <c r="V195" s="18" t="s">
        <v>419</v>
      </c>
      <c r="W195" s="18" t="s">
        <v>419</v>
      </c>
    </row>
    <row r="196" spans="4:23" ht="12.75">
      <c r="D196" s="17" t="s">
        <v>539</v>
      </c>
      <c r="F196" s="17" t="s">
        <v>496</v>
      </c>
      <c r="G196" s="17" t="s">
        <v>426</v>
      </c>
      <c r="H196" s="19" t="s">
        <v>526</v>
      </c>
      <c r="I196" s="19" t="s">
        <v>426</v>
      </c>
      <c r="K196" s="19" t="s">
        <v>526</v>
      </c>
      <c r="L196" s="19" t="s">
        <v>426</v>
      </c>
      <c r="N196" s="21" t="s">
        <v>516</v>
      </c>
      <c r="O196" s="21" t="s">
        <v>516</v>
      </c>
      <c r="P196" s="17" t="s">
        <v>532</v>
      </c>
      <c r="Q196" s="21" t="s">
        <v>500</v>
      </c>
      <c r="R196" s="21" t="s">
        <v>426</v>
      </c>
      <c r="S196" s="21" t="s">
        <v>516</v>
      </c>
      <c r="T196" s="21" t="s">
        <v>516</v>
      </c>
      <c r="U196" s="17" t="s">
        <v>532</v>
      </c>
      <c r="V196" s="21" t="s">
        <v>500</v>
      </c>
      <c r="W196" s="21" t="s">
        <v>426</v>
      </c>
    </row>
    <row r="197" spans="2:23" ht="12.75">
      <c r="B197" s="18" t="s">
        <v>419</v>
      </c>
      <c r="C197" s="18" t="s">
        <v>419</v>
      </c>
      <c r="D197" s="18" t="s">
        <v>419</v>
      </c>
      <c r="F197" s="18" t="s">
        <v>419</v>
      </c>
      <c r="G197" s="18" t="s">
        <v>419</v>
      </c>
      <c r="H197" s="18" t="s">
        <v>419</v>
      </c>
      <c r="I197" s="18" t="s">
        <v>419</v>
      </c>
      <c r="K197" s="18" t="s">
        <v>419</v>
      </c>
      <c r="L197" s="18" t="s">
        <v>419</v>
      </c>
      <c r="N197" s="18" t="s">
        <v>419</v>
      </c>
      <c r="O197" s="18" t="s">
        <v>419</v>
      </c>
      <c r="P197" s="18" t="s">
        <v>419</v>
      </c>
      <c r="Q197" s="18" t="s">
        <v>419</v>
      </c>
      <c r="R197" s="18" t="s">
        <v>419</v>
      </c>
      <c r="S197" s="18" t="s">
        <v>419</v>
      </c>
      <c r="T197" s="18" t="s">
        <v>419</v>
      </c>
      <c r="U197" s="18" t="s">
        <v>419</v>
      </c>
      <c r="V197" s="18" t="s">
        <v>419</v>
      </c>
      <c r="W197" s="18" t="s">
        <v>419</v>
      </c>
    </row>
    <row r="198" spans="2:23" ht="12.75">
      <c r="B198" s="20">
        <v>0</v>
      </c>
      <c r="C198" s="20">
        <v>0</v>
      </c>
      <c r="D198" s="19">
        <v>1799</v>
      </c>
      <c r="F198" s="20">
        <v>5055</v>
      </c>
      <c r="G198" s="20">
        <v>5078</v>
      </c>
      <c r="H198" s="20">
        <f>(D198*$G$47+F198*$G$45)/100</f>
        <v>85.162</v>
      </c>
      <c r="I198" s="20">
        <f>(D198*$H$47+G198*$H$45)/100</f>
        <v>692.867</v>
      </c>
      <c r="K198" s="20">
        <f aca="true" t="shared" si="39" ref="K198:L205">(H198*$G$24)/100</f>
        <v>28.10346</v>
      </c>
      <c r="L198" s="20">
        <f t="shared" si="39"/>
        <v>228.64610999999996</v>
      </c>
      <c r="N198" s="22">
        <f>ROUND((1/((1+$E$100)^B198)),4)</f>
        <v>1</v>
      </c>
      <c r="O198" s="22">
        <f>ROUND((((1+$E$100)^(C198))-1)/(($E$100)*((1+$E$100)^C198)),4)</f>
        <v>0</v>
      </c>
      <c r="P198" s="22">
        <f aca="true" t="shared" si="40" ref="P198:P205">N198-O198</f>
        <v>1</v>
      </c>
      <c r="Q198" s="20">
        <f>(K198*P198)</f>
        <v>28.10346</v>
      </c>
      <c r="R198" s="20">
        <f>L198*P198</f>
        <v>228.64610999999996</v>
      </c>
      <c r="S198" s="22">
        <f>ROUND((1/((1+$E$102)^C198)),4)</f>
        <v>1</v>
      </c>
      <c r="T198" s="22">
        <f aca="true" t="shared" si="41" ref="T198:T206">ROUND((((1+$E$102)^(B198))-1)/(($E$102)*((1+$E$102)^B198)),4)</f>
        <v>0</v>
      </c>
      <c r="U198" s="22">
        <f aca="true" t="shared" si="42" ref="U198:U206">S198-T198</f>
        <v>1</v>
      </c>
      <c r="V198" s="20">
        <f aca="true" t="shared" si="43" ref="V198:V205">(K198*U198)</f>
        <v>28.10346</v>
      </c>
      <c r="W198" s="20">
        <f aca="true" t="shared" si="44" ref="W198:W205">L198*U198</f>
        <v>228.64610999999996</v>
      </c>
    </row>
    <row r="199" spans="2:23" ht="12.75">
      <c r="B199" s="20">
        <v>0</v>
      </c>
      <c r="C199" s="20">
        <v>1</v>
      </c>
      <c r="D199" s="19">
        <v>1799</v>
      </c>
      <c r="F199" s="20">
        <v>5266</v>
      </c>
      <c r="G199" s="20">
        <v>5290</v>
      </c>
      <c r="H199" s="20">
        <f aca="true" t="shared" si="45" ref="H199:H206">(D199*$G$47+F199*$G$45)/100</f>
        <v>88.116</v>
      </c>
      <c r="I199" s="20">
        <f aca="true" t="shared" si="46" ref="I199:I206">(D199*$H$47+G199*$H$45)/100</f>
        <v>716.6109999999999</v>
      </c>
      <c r="K199" s="20">
        <f t="shared" si="39"/>
        <v>29.07828</v>
      </c>
      <c r="L199" s="20">
        <f t="shared" si="39"/>
        <v>236.48162999999997</v>
      </c>
      <c r="N199" s="22">
        <f aca="true" t="shared" si="47" ref="N199:N205">+ROUND((((1+$E$100)^(C199))-1)/(($E$100)*((1+$E$100)^C199)),4)</f>
        <v>0.8929</v>
      </c>
      <c r="O199" s="22">
        <f>ROUND((((1+$E$100)^(B199))-1)/(($E$100)*((1+$E$100)^B199)),4)</f>
        <v>0</v>
      </c>
      <c r="P199" s="22">
        <f t="shared" si="40"/>
        <v>0.8929</v>
      </c>
      <c r="Q199" s="20">
        <f aca="true" t="shared" si="48" ref="Q199:Q205">(K199*P199)</f>
        <v>25.963996212</v>
      </c>
      <c r="R199" s="20">
        <f aca="true" t="shared" si="49" ref="R199:R205">L199*P199</f>
        <v>211.15444742699998</v>
      </c>
      <c r="S199" s="22">
        <f aca="true" t="shared" si="50" ref="S199:S206">ROUND((((1+$E$102)^(C199))-1)/(($E$102)*((1+$E$102)^C199)),4)</f>
        <v>0.885</v>
      </c>
      <c r="T199" s="22">
        <f t="shared" si="41"/>
        <v>0</v>
      </c>
      <c r="U199" s="22">
        <f t="shared" si="42"/>
        <v>0.885</v>
      </c>
      <c r="V199" s="20">
        <f t="shared" si="43"/>
        <v>25.7342778</v>
      </c>
      <c r="W199" s="20">
        <f t="shared" si="44"/>
        <v>209.28624254999997</v>
      </c>
    </row>
    <row r="200" spans="2:23" ht="12.75">
      <c r="B200" s="20">
        <v>1</v>
      </c>
      <c r="C200" s="20">
        <v>2</v>
      </c>
      <c r="D200" s="19">
        <v>1799</v>
      </c>
      <c r="F200" s="20">
        <v>5266</v>
      </c>
      <c r="G200" s="20">
        <v>5290</v>
      </c>
      <c r="H200" s="20">
        <f t="shared" si="45"/>
        <v>88.116</v>
      </c>
      <c r="I200" s="20">
        <f t="shared" si="46"/>
        <v>716.6109999999999</v>
      </c>
      <c r="K200" s="20">
        <f t="shared" si="39"/>
        <v>29.07828</v>
      </c>
      <c r="L200" s="20">
        <f t="shared" si="39"/>
        <v>236.48162999999997</v>
      </c>
      <c r="N200" s="22">
        <f t="shared" si="47"/>
        <v>1.6901</v>
      </c>
      <c r="O200" s="22">
        <f aca="true" t="shared" si="51" ref="O200:O205">ROUND((((1+$E$100)^(B200))-1)/(($E$100)*((1+$E$100)^B200)),4)</f>
        <v>0.8929</v>
      </c>
      <c r="P200" s="22">
        <f t="shared" si="40"/>
        <v>0.7971999999999999</v>
      </c>
      <c r="Q200" s="20">
        <f t="shared" si="48"/>
        <v>23.181204815999997</v>
      </c>
      <c r="R200" s="20">
        <f t="shared" si="49"/>
        <v>188.52315543599994</v>
      </c>
      <c r="S200" s="22">
        <f t="shared" si="50"/>
        <v>1.6681</v>
      </c>
      <c r="T200" s="22">
        <f t="shared" si="41"/>
        <v>0.885</v>
      </c>
      <c r="U200" s="22">
        <f t="shared" si="42"/>
        <v>0.7830999999999999</v>
      </c>
      <c r="V200" s="20">
        <f t="shared" si="43"/>
        <v>22.771201067999996</v>
      </c>
      <c r="W200" s="20">
        <f t="shared" si="44"/>
        <v>185.18876445299995</v>
      </c>
    </row>
    <row r="201" spans="2:23" ht="12.75">
      <c r="B201" s="20">
        <v>2</v>
      </c>
      <c r="C201" s="20">
        <v>3</v>
      </c>
      <c r="D201" s="19">
        <v>1799</v>
      </c>
      <c r="F201" s="20">
        <v>5477</v>
      </c>
      <c r="G201" s="20">
        <v>5501</v>
      </c>
      <c r="H201" s="20">
        <f t="shared" si="45"/>
        <v>91.07</v>
      </c>
      <c r="I201" s="20">
        <f t="shared" si="46"/>
        <v>740.243</v>
      </c>
      <c r="K201" s="20">
        <f t="shared" si="39"/>
        <v>30.0531</v>
      </c>
      <c r="L201" s="20">
        <f t="shared" si="39"/>
        <v>244.28019</v>
      </c>
      <c r="N201" s="22">
        <f t="shared" si="47"/>
        <v>2.4018</v>
      </c>
      <c r="O201" s="22">
        <f t="shared" si="51"/>
        <v>1.6901</v>
      </c>
      <c r="P201" s="22">
        <f t="shared" si="40"/>
        <v>0.7117000000000002</v>
      </c>
      <c r="Q201" s="20">
        <f t="shared" si="48"/>
        <v>21.388791270000006</v>
      </c>
      <c r="R201" s="20">
        <f t="shared" si="49"/>
        <v>173.85421122300005</v>
      </c>
      <c r="S201" s="22">
        <f t="shared" si="50"/>
        <v>2.3612</v>
      </c>
      <c r="T201" s="22">
        <f t="shared" si="41"/>
        <v>1.6681</v>
      </c>
      <c r="U201" s="22">
        <f t="shared" si="42"/>
        <v>0.6931000000000003</v>
      </c>
      <c r="V201" s="20">
        <f t="shared" si="43"/>
        <v>20.82980361000001</v>
      </c>
      <c r="W201" s="20">
        <f t="shared" si="44"/>
        <v>169.31059968900007</v>
      </c>
    </row>
    <row r="202" spans="2:23" ht="12.75">
      <c r="B202" s="20">
        <v>3</v>
      </c>
      <c r="C202" s="20">
        <v>4</v>
      </c>
      <c r="D202" s="19">
        <v>1799</v>
      </c>
      <c r="F202" s="20">
        <v>5687</v>
      </c>
      <c r="G202" s="20">
        <v>5713</v>
      </c>
      <c r="H202" s="20">
        <f t="shared" si="45"/>
        <v>94.01</v>
      </c>
      <c r="I202" s="20">
        <f t="shared" si="46"/>
        <v>763.987</v>
      </c>
      <c r="K202" s="20">
        <f t="shared" si="39"/>
        <v>31.023300000000003</v>
      </c>
      <c r="L202" s="20">
        <f t="shared" si="39"/>
        <v>252.11571</v>
      </c>
      <c r="N202" s="22">
        <f t="shared" si="47"/>
        <v>3.0373</v>
      </c>
      <c r="O202" s="22">
        <f t="shared" si="51"/>
        <v>2.4018</v>
      </c>
      <c r="P202" s="22">
        <f t="shared" si="40"/>
        <v>0.6355</v>
      </c>
      <c r="Q202" s="20">
        <f t="shared" si="48"/>
        <v>19.71530715</v>
      </c>
      <c r="R202" s="20">
        <f t="shared" si="49"/>
        <v>160.219533705</v>
      </c>
      <c r="S202" s="22">
        <f t="shared" si="50"/>
        <v>2.9745</v>
      </c>
      <c r="T202" s="22">
        <f t="shared" si="41"/>
        <v>2.3612</v>
      </c>
      <c r="U202" s="22">
        <f t="shared" si="42"/>
        <v>0.6132999999999997</v>
      </c>
      <c r="V202" s="20">
        <f t="shared" si="43"/>
        <v>19.026589889999993</v>
      </c>
      <c r="W202" s="20">
        <f t="shared" si="44"/>
        <v>154.62256494299993</v>
      </c>
    </row>
    <row r="203" spans="2:23" ht="12.75">
      <c r="B203" s="20">
        <v>4</v>
      </c>
      <c r="C203" s="20">
        <v>5</v>
      </c>
      <c r="D203" s="19">
        <v>1799</v>
      </c>
      <c r="F203" s="20">
        <v>5898</v>
      </c>
      <c r="G203" s="20">
        <v>5924</v>
      </c>
      <c r="H203" s="20">
        <f t="shared" si="45"/>
        <v>96.964</v>
      </c>
      <c r="I203" s="20">
        <f t="shared" si="46"/>
        <v>787.6190000000001</v>
      </c>
      <c r="K203" s="20">
        <f t="shared" si="39"/>
        <v>31.99812</v>
      </c>
      <c r="L203" s="20">
        <f t="shared" si="39"/>
        <v>259.91427000000004</v>
      </c>
      <c r="N203" s="22">
        <f t="shared" si="47"/>
        <v>3.6048</v>
      </c>
      <c r="O203" s="22">
        <f t="shared" si="51"/>
        <v>3.0373</v>
      </c>
      <c r="P203" s="22">
        <f t="shared" si="40"/>
        <v>0.5674999999999999</v>
      </c>
      <c r="Q203" s="20">
        <f t="shared" si="48"/>
        <v>18.158933099999995</v>
      </c>
      <c r="R203" s="20">
        <f t="shared" si="49"/>
        <v>147.501348225</v>
      </c>
      <c r="S203" s="22">
        <f t="shared" si="50"/>
        <v>3.5172</v>
      </c>
      <c r="T203" s="22">
        <f t="shared" si="41"/>
        <v>2.9745</v>
      </c>
      <c r="U203" s="22">
        <f t="shared" si="42"/>
        <v>0.5427</v>
      </c>
      <c r="V203" s="20">
        <f t="shared" si="43"/>
        <v>17.365379724</v>
      </c>
      <c r="W203" s="20">
        <f t="shared" si="44"/>
        <v>141.05547432900002</v>
      </c>
    </row>
    <row r="204" spans="2:23" ht="12.75">
      <c r="B204" s="20">
        <v>5</v>
      </c>
      <c r="C204" s="20">
        <v>6</v>
      </c>
      <c r="D204" s="19">
        <v>1999</v>
      </c>
      <c r="F204" s="20">
        <v>5898</v>
      </c>
      <c r="G204" s="20">
        <v>5924</v>
      </c>
      <c r="H204" s="20">
        <f t="shared" si="45"/>
        <v>98.564</v>
      </c>
      <c r="I204" s="20">
        <f t="shared" si="46"/>
        <v>801.4190000000001</v>
      </c>
      <c r="K204" s="20">
        <f t="shared" si="39"/>
        <v>32.52612</v>
      </c>
      <c r="L204" s="20">
        <f t="shared" si="39"/>
        <v>264.4682700000001</v>
      </c>
      <c r="N204" s="22">
        <f t="shared" si="47"/>
        <v>4.1114</v>
      </c>
      <c r="O204" s="22">
        <f t="shared" si="51"/>
        <v>3.6048</v>
      </c>
      <c r="P204" s="22">
        <f t="shared" si="40"/>
        <v>0.5065999999999997</v>
      </c>
      <c r="Q204" s="20">
        <f t="shared" si="48"/>
        <v>16.47773239199999</v>
      </c>
      <c r="R204" s="20">
        <f t="shared" si="49"/>
        <v>133.97962558199995</v>
      </c>
      <c r="S204" s="22">
        <f t="shared" si="50"/>
        <v>3.9975</v>
      </c>
      <c r="T204" s="22">
        <f t="shared" si="41"/>
        <v>3.5172</v>
      </c>
      <c r="U204" s="22">
        <f t="shared" si="42"/>
        <v>0.48030000000000017</v>
      </c>
      <c r="V204" s="20">
        <f t="shared" si="43"/>
        <v>15.622295436000005</v>
      </c>
      <c r="W204" s="20">
        <f t="shared" si="44"/>
        <v>127.02411008100007</v>
      </c>
    </row>
    <row r="205" spans="2:23" ht="12.75">
      <c r="B205" s="20">
        <v>6</v>
      </c>
      <c r="C205" s="20">
        <v>7</v>
      </c>
      <c r="D205" s="19">
        <v>1999</v>
      </c>
      <c r="F205" s="20">
        <v>6109</v>
      </c>
      <c r="G205" s="20">
        <v>6136</v>
      </c>
      <c r="H205" s="20">
        <f t="shared" si="45"/>
        <v>101.51800000000001</v>
      </c>
      <c r="I205" s="20">
        <f t="shared" si="46"/>
        <v>825.163</v>
      </c>
      <c r="K205" s="20">
        <f t="shared" si="39"/>
        <v>33.50094000000001</v>
      </c>
      <c r="L205" s="20">
        <f t="shared" si="39"/>
        <v>272.30379</v>
      </c>
      <c r="N205" s="22">
        <f t="shared" si="47"/>
        <v>4.5638</v>
      </c>
      <c r="O205" s="22">
        <f t="shared" si="51"/>
        <v>4.1114</v>
      </c>
      <c r="P205" s="22">
        <f t="shared" si="40"/>
        <v>0.4523999999999999</v>
      </c>
      <c r="Q205" s="20">
        <f t="shared" si="48"/>
        <v>15.155825256</v>
      </c>
      <c r="R205" s="20">
        <f t="shared" si="49"/>
        <v>123.19023459599997</v>
      </c>
      <c r="S205" s="22">
        <f t="shared" si="50"/>
        <v>4.4226</v>
      </c>
      <c r="T205" s="22">
        <f t="shared" si="41"/>
        <v>3.9975</v>
      </c>
      <c r="U205" s="22">
        <f t="shared" si="42"/>
        <v>0.42510000000000003</v>
      </c>
      <c r="V205" s="20">
        <f t="shared" si="43"/>
        <v>14.241249594000005</v>
      </c>
      <c r="W205" s="20">
        <f t="shared" si="44"/>
        <v>115.756341129</v>
      </c>
    </row>
    <row r="206" spans="2:23" ht="12.75">
      <c r="B206" s="20">
        <v>7</v>
      </c>
      <c r="C206" s="20">
        <v>30</v>
      </c>
      <c r="D206" s="20">
        <v>2199</v>
      </c>
      <c r="F206" s="20">
        <v>6319</v>
      </c>
      <c r="G206" s="20">
        <v>6348</v>
      </c>
      <c r="H206" s="20">
        <f t="shared" si="45"/>
        <v>106.05799999999999</v>
      </c>
      <c r="I206" s="20">
        <f t="shared" si="46"/>
        <v>862.707</v>
      </c>
      <c r="K206" s="20">
        <f>(H206*$G$24)/100</f>
        <v>34.99914</v>
      </c>
      <c r="L206" s="20">
        <f>(I206*$G$24)/100</f>
        <v>284.69331</v>
      </c>
      <c r="N206" s="22">
        <f>ROUND((((1+$E$100)^(C206))-1)/(($E$100)*((1+$E$100)^C206)),4)</f>
        <v>8.0552</v>
      </c>
      <c r="O206" s="22">
        <f>ROUND((((1+$E$100)^(B206))-1)/(($E$100)*((1+$E$100)^B206)),4)</f>
        <v>4.5638</v>
      </c>
      <c r="P206" s="22">
        <f>N206-O206</f>
        <v>3.4913999999999996</v>
      </c>
      <c r="Q206" s="20">
        <f>(K206*P206)</f>
        <v>122.19599739599998</v>
      </c>
      <c r="R206" s="20">
        <f>L206*P206</f>
        <v>993.9782225339999</v>
      </c>
      <c r="S206" s="22">
        <f t="shared" si="50"/>
        <v>7.4957</v>
      </c>
      <c r="T206" s="22">
        <f t="shared" si="41"/>
        <v>4.4226</v>
      </c>
      <c r="U206" s="22">
        <f t="shared" si="42"/>
        <v>3.0731</v>
      </c>
      <c r="V206" s="20">
        <f>(K206*U206)</f>
        <v>107.555857134</v>
      </c>
      <c r="W206" s="20">
        <f>L206*U206</f>
        <v>874.891010961</v>
      </c>
    </row>
    <row r="208" spans="2:23" ht="12.75">
      <c r="B208" s="18" t="s">
        <v>419</v>
      </c>
      <c r="C208" s="18" t="s">
        <v>419</v>
      </c>
      <c r="D208" s="18" t="s">
        <v>419</v>
      </c>
      <c r="E208" s="18" t="s">
        <v>419</v>
      </c>
      <c r="F208" s="18" t="s">
        <v>419</v>
      </c>
      <c r="G208" s="18" t="s">
        <v>419</v>
      </c>
      <c r="H208" s="18" t="s">
        <v>419</v>
      </c>
      <c r="I208" s="18" t="s">
        <v>419</v>
      </c>
      <c r="J208" s="18" t="s">
        <v>419</v>
      </c>
      <c r="K208" s="18" t="s">
        <v>419</v>
      </c>
      <c r="L208" s="18" t="s">
        <v>419</v>
      </c>
      <c r="M208" s="18" t="s">
        <v>419</v>
      </c>
      <c r="N208" s="18" t="s">
        <v>419</v>
      </c>
      <c r="O208" s="18" t="s">
        <v>419</v>
      </c>
      <c r="P208" s="18" t="s">
        <v>419</v>
      </c>
      <c r="Q208" s="18" t="s">
        <v>419</v>
      </c>
      <c r="R208" s="18" t="s">
        <v>419</v>
      </c>
      <c r="S208" s="18" t="s">
        <v>419</v>
      </c>
      <c r="T208" s="18" t="s">
        <v>419</v>
      </c>
      <c r="U208" s="18" t="s">
        <v>419</v>
      </c>
      <c r="V208" s="18" t="s">
        <v>419</v>
      </c>
      <c r="W208" s="18" t="s">
        <v>419</v>
      </c>
    </row>
    <row r="209" spans="2:23" ht="12.75">
      <c r="B209" s="17" t="s">
        <v>23</v>
      </c>
      <c r="K209" s="22"/>
      <c r="Q209" s="20">
        <f>SUM(Q198:Q206)</f>
        <v>290.34124759199995</v>
      </c>
      <c r="R209" s="20">
        <f>SUM(R198:R206)</f>
        <v>2361.0468887279994</v>
      </c>
      <c r="V209" s="20">
        <f>SUM(V198:V206)</f>
        <v>271.250114256</v>
      </c>
      <c r="W209" s="20">
        <f>SUM(W198:W206)</f>
        <v>2205.781218135</v>
      </c>
    </row>
    <row r="210" spans="2:23" ht="12.75">
      <c r="B210" s="18" t="s">
        <v>419</v>
      </c>
      <c r="C210" s="18" t="s">
        <v>419</v>
      </c>
      <c r="D210" s="18" t="s">
        <v>419</v>
      </c>
      <c r="E210" s="18" t="s">
        <v>419</v>
      </c>
      <c r="F210" s="18" t="s">
        <v>419</v>
      </c>
      <c r="G210" s="18" t="s">
        <v>419</v>
      </c>
      <c r="H210" s="18" t="s">
        <v>419</v>
      </c>
      <c r="I210" s="18" t="s">
        <v>419</v>
      </c>
      <c r="J210" s="18" t="s">
        <v>419</v>
      </c>
      <c r="K210" s="18" t="s">
        <v>419</v>
      </c>
      <c r="L210" s="18" t="s">
        <v>419</v>
      </c>
      <c r="M210" s="18" t="s">
        <v>419</v>
      </c>
      <c r="N210" s="18" t="s">
        <v>419</v>
      </c>
      <c r="O210" s="18" t="s">
        <v>419</v>
      </c>
      <c r="P210" s="18" t="s">
        <v>419</v>
      </c>
      <c r="Q210" s="18" t="s">
        <v>419</v>
      </c>
      <c r="R210" s="18" t="s">
        <v>419</v>
      </c>
      <c r="S210" s="18" t="s">
        <v>419</v>
      </c>
      <c r="T210" s="18" t="s">
        <v>419</v>
      </c>
      <c r="U210" s="18" t="s">
        <v>419</v>
      </c>
      <c r="V210" s="18" t="s">
        <v>419</v>
      </c>
      <c r="W210" s="18" t="s">
        <v>419</v>
      </c>
    </row>
    <row r="211" ht="12.75">
      <c r="A211" s="17" t="s">
        <v>467</v>
      </c>
    </row>
    <row r="212" spans="2:10" ht="12.75">
      <c r="B212" s="17" t="s">
        <v>540</v>
      </c>
      <c r="J212" s="17" t="s">
        <v>541</v>
      </c>
    </row>
    <row r="213" spans="2:17" ht="12.75">
      <c r="B213" s="18" t="s">
        <v>419</v>
      </c>
      <c r="C213" s="18" t="s">
        <v>419</v>
      </c>
      <c r="D213" s="18" t="s">
        <v>419</v>
      </c>
      <c r="E213" s="18" t="s">
        <v>419</v>
      </c>
      <c r="J213" s="18" t="s">
        <v>419</v>
      </c>
      <c r="Q213" s="17" t="s">
        <v>542</v>
      </c>
    </row>
    <row r="215" spans="2:23" ht="12.75">
      <c r="B215" s="18" t="s">
        <v>419</v>
      </c>
      <c r="C215" s="18" t="s">
        <v>419</v>
      </c>
      <c r="D215" s="18" t="s">
        <v>419</v>
      </c>
      <c r="E215" s="18" t="s">
        <v>419</v>
      </c>
      <c r="F215" s="18" t="s">
        <v>419</v>
      </c>
      <c r="G215" s="18" t="s">
        <v>419</v>
      </c>
      <c r="H215" s="18" t="s">
        <v>419</v>
      </c>
      <c r="I215" s="18" t="s">
        <v>419</v>
      </c>
      <c r="J215" s="18" t="s">
        <v>419</v>
      </c>
      <c r="K215" s="18" t="s">
        <v>419</v>
      </c>
      <c r="L215" s="18" t="s">
        <v>419</v>
      </c>
      <c r="M215" s="18" t="s">
        <v>419</v>
      </c>
      <c r="N215" s="18" t="s">
        <v>419</v>
      </c>
      <c r="O215" s="18" t="s">
        <v>419</v>
      </c>
      <c r="P215" s="18" t="s">
        <v>419</v>
      </c>
      <c r="Q215" s="18" t="s">
        <v>419</v>
      </c>
      <c r="S215" s="18" t="s">
        <v>419</v>
      </c>
      <c r="T215" s="18" t="s">
        <v>419</v>
      </c>
      <c r="U215" s="18" t="s">
        <v>419</v>
      </c>
      <c r="V215" s="18" t="s">
        <v>419</v>
      </c>
      <c r="W215" s="18" t="s">
        <v>419</v>
      </c>
    </row>
    <row r="216" spans="4:12" ht="12.75">
      <c r="D216" s="17" t="s">
        <v>543</v>
      </c>
      <c r="F216" s="17" t="s">
        <v>544</v>
      </c>
      <c r="L216" s="17" t="s">
        <v>545</v>
      </c>
    </row>
    <row r="217" spans="3:15" ht="12.75">
      <c r="C217" s="17" t="s">
        <v>438</v>
      </c>
      <c r="D217" s="24" t="s">
        <v>546</v>
      </c>
      <c r="E217" s="17"/>
      <c r="F217" s="17" t="s">
        <v>547</v>
      </c>
      <c r="L217" s="18" t="s">
        <v>419</v>
      </c>
      <c r="M217" s="18" t="s">
        <v>419</v>
      </c>
      <c r="N217" s="18" t="s">
        <v>419</v>
      </c>
      <c r="O217" s="18" t="s">
        <v>419</v>
      </c>
    </row>
    <row r="218" spans="2:16" ht="12.75">
      <c r="B218" s="17" t="s">
        <v>12</v>
      </c>
      <c r="C218" s="17" t="s">
        <v>12</v>
      </c>
      <c r="J218" s="20" t="str">
        <f>H100</f>
        <v>At 12 %</v>
      </c>
      <c r="K218" s="17" t="s">
        <v>494</v>
      </c>
      <c r="O218" s="20" t="str">
        <f>H102</f>
        <v>At 13 %</v>
      </c>
      <c r="P218" s="17" t="s">
        <v>494</v>
      </c>
    </row>
    <row r="219" spans="4:17" ht="12.75">
      <c r="D219" s="17" t="s">
        <v>496</v>
      </c>
      <c r="E219" s="17" t="s">
        <v>426</v>
      </c>
      <c r="F219" s="19" t="s">
        <v>548</v>
      </c>
      <c r="G219" s="19" t="s">
        <v>549</v>
      </c>
      <c r="H219" s="21" t="s">
        <v>516</v>
      </c>
      <c r="I219" s="21" t="s">
        <v>516</v>
      </c>
      <c r="J219" s="17" t="s">
        <v>532</v>
      </c>
      <c r="K219" s="21" t="s">
        <v>500</v>
      </c>
      <c r="L219" s="21" t="s">
        <v>426</v>
      </c>
      <c r="M219" s="21" t="s">
        <v>516</v>
      </c>
      <c r="N219" s="21" t="s">
        <v>516</v>
      </c>
      <c r="O219" s="17" t="s">
        <v>532</v>
      </c>
      <c r="P219" s="21" t="s">
        <v>500</v>
      </c>
      <c r="Q219" s="21" t="s">
        <v>426</v>
      </c>
    </row>
    <row r="220" spans="2:17" ht="12.75">
      <c r="B220" s="18" t="s">
        <v>419</v>
      </c>
      <c r="C220" s="18" t="s">
        <v>419</v>
      </c>
      <c r="D220" s="18" t="s">
        <v>419</v>
      </c>
      <c r="E220" s="18" t="s">
        <v>419</v>
      </c>
      <c r="F220" s="18" t="s">
        <v>419</v>
      </c>
      <c r="G220" s="18" t="s">
        <v>419</v>
      </c>
      <c r="H220" s="18" t="s">
        <v>419</v>
      </c>
      <c r="I220" s="18" t="s">
        <v>419</v>
      </c>
      <c r="J220" s="18" t="s">
        <v>419</v>
      </c>
      <c r="K220" s="18" t="s">
        <v>419</v>
      </c>
      <c r="L220" s="18" t="s">
        <v>419</v>
      </c>
      <c r="M220" s="18" t="s">
        <v>419</v>
      </c>
      <c r="N220" s="18" t="s">
        <v>419</v>
      </c>
      <c r="O220" s="18" t="s">
        <v>419</v>
      </c>
      <c r="P220" s="18" t="s">
        <v>419</v>
      </c>
      <c r="Q220" s="18" t="s">
        <v>419</v>
      </c>
    </row>
    <row r="221" spans="1:17" ht="12.75">
      <c r="A221" s="25" t="s">
        <v>111</v>
      </c>
      <c r="B221" s="20">
        <v>0</v>
      </c>
      <c r="C221" s="20">
        <v>0</v>
      </c>
      <c r="D221" s="26">
        <f aca="true" t="shared" si="52" ref="D221:D229">(D175+E175+F175)*1000</f>
        <v>11975000</v>
      </c>
      <c r="E221" s="26">
        <f aca="true" t="shared" si="53" ref="E221:E229">(D175+E175+G175)*1000</f>
        <v>11977000</v>
      </c>
      <c r="F221" s="20">
        <f>D221*8.91/100000</f>
        <v>1066.9725</v>
      </c>
      <c r="G221" s="20">
        <f>E221*12.49/100000</f>
        <v>1495.9273</v>
      </c>
      <c r="H221" s="22">
        <f>ROUND((1/((1+$E$100)^B221)),4)</f>
        <v>1</v>
      </c>
      <c r="I221" s="22">
        <f>ROUND((((1+$E$100)^(C221))-1)/(($E$100)*((1+$E$100)^C221)),4)</f>
        <v>0</v>
      </c>
      <c r="J221" s="22">
        <f>H221-I221</f>
        <v>1</v>
      </c>
      <c r="K221" s="20">
        <f aca="true" t="shared" si="54" ref="K221:K229">(F221*J221)</f>
        <v>1066.9725</v>
      </c>
      <c r="L221" s="20">
        <f aca="true" t="shared" si="55" ref="L221:L229">(G221*J221)</f>
        <v>1495.9273</v>
      </c>
      <c r="M221" s="22">
        <f>ROUND((1/((1+$E$102)^C221)),4)</f>
        <v>1</v>
      </c>
      <c r="N221" s="22">
        <f>ROUND((((1+$E$102)^(C221))-1)/(($E$102)*((1+$E$102)^C221)),4)</f>
        <v>0</v>
      </c>
      <c r="O221" s="22">
        <f>M221-N221</f>
        <v>1</v>
      </c>
      <c r="P221" s="20">
        <f aca="true" t="shared" si="56" ref="P221:P229">(F221*O221)</f>
        <v>1066.9725</v>
      </c>
      <c r="Q221" s="20">
        <f aca="true" t="shared" si="57" ref="Q221:Q229">(G221*O221)</f>
        <v>1495.9273</v>
      </c>
    </row>
    <row r="222" spans="1:17" ht="12.75">
      <c r="A222" s="25" t="s">
        <v>45</v>
      </c>
      <c r="B222" s="20">
        <v>0</v>
      </c>
      <c r="C222" s="20">
        <v>1</v>
      </c>
      <c r="D222" s="26">
        <f t="shared" si="52"/>
        <v>12352000</v>
      </c>
      <c r="E222" s="26">
        <f t="shared" si="53"/>
        <v>12355000</v>
      </c>
      <c r="F222" s="20">
        <f aca="true" t="shared" si="58" ref="F222:F229">D222*8.91/100000</f>
        <v>1100.5632</v>
      </c>
      <c r="G222" s="20">
        <f aca="true" t="shared" si="59" ref="G222:G229">E222*12.49/100000</f>
        <v>1543.1395</v>
      </c>
      <c r="H222" s="22">
        <f aca="true" t="shared" si="60" ref="H222:H229">+ROUND((((1+$E$100)^(C222))-1)/(($E$100)*((1+$E$100)^C222)),4)</f>
        <v>0.8929</v>
      </c>
      <c r="I222" s="22">
        <f aca="true" t="shared" si="61" ref="I222:I229">ROUND((((1+$E$100)^(B222))-1)/(($E$100)*((1+$E$100)^B222)),4)</f>
        <v>0</v>
      </c>
      <c r="J222" s="22">
        <f>H222-I222</f>
        <v>0.8929</v>
      </c>
      <c r="K222" s="20">
        <f t="shared" si="54"/>
        <v>982.69288128</v>
      </c>
      <c r="L222" s="20">
        <f t="shared" si="55"/>
        <v>1377.8692595500002</v>
      </c>
      <c r="M222" s="22">
        <f aca="true" t="shared" si="62" ref="M222:M229">ROUND((((1+$E$102)^(C222))-1)/(($E$102)*((1+$E$102)^C222)),4)</f>
        <v>0.885</v>
      </c>
      <c r="N222" s="22">
        <f aca="true" t="shared" si="63" ref="N222:N229">ROUND((((1+$E$102)^(B222))-1)/(($E$102)*((1+$E$102)^B222)),4)</f>
        <v>0</v>
      </c>
      <c r="O222" s="22">
        <f>M222-N222</f>
        <v>0.885</v>
      </c>
      <c r="P222" s="20">
        <f t="shared" si="56"/>
        <v>973.9984320000001</v>
      </c>
      <c r="Q222" s="20">
        <f t="shared" si="57"/>
        <v>1365.6784575</v>
      </c>
    </row>
    <row r="223" spans="1:17" ht="12.75">
      <c r="A223" s="25" t="s">
        <v>50</v>
      </c>
      <c r="B223" s="20">
        <v>1</v>
      </c>
      <c r="C223" s="20">
        <v>2</v>
      </c>
      <c r="D223" s="26">
        <f t="shared" si="52"/>
        <v>12711000</v>
      </c>
      <c r="E223" s="26">
        <f t="shared" si="53"/>
        <v>12714000</v>
      </c>
      <c r="F223" s="20">
        <f t="shared" si="58"/>
        <v>1132.5501</v>
      </c>
      <c r="G223" s="20">
        <f t="shared" si="59"/>
        <v>1587.9786</v>
      </c>
      <c r="H223" s="22">
        <f t="shared" si="60"/>
        <v>1.6901</v>
      </c>
      <c r="I223" s="22">
        <f t="shared" si="61"/>
        <v>0.8929</v>
      </c>
      <c r="J223" s="22">
        <f aca="true" t="shared" si="64" ref="J223:J229">H223-I223</f>
        <v>0.7971999999999999</v>
      </c>
      <c r="K223" s="20">
        <f t="shared" si="54"/>
        <v>902.8689397199998</v>
      </c>
      <c r="L223" s="20">
        <f t="shared" si="55"/>
        <v>1265.9365399199999</v>
      </c>
      <c r="M223" s="22">
        <f t="shared" si="62"/>
        <v>1.6681</v>
      </c>
      <c r="N223" s="22">
        <f t="shared" si="63"/>
        <v>0.885</v>
      </c>
      <c r="O223" s="22">
        <f aca="true" t="shared" si="65" ref="O223:O229">M223-N223</f>
        <v>0.7830999999999999</v>
      </c>
      <c r="P223" s="20">
        <f t="shared" si="56"/>
        <v>886.8999833099998</v>
      </c>
      <c r="Q223" s="20">
        <f t="shared" si="57"/>
        <v>1243.5460416599997</v>
      </c>
    </row>
    <row r="224" spans="1:17" ht="12.75">
      <c r="A224" s="25" t="s">
        <v>61</v>
      </c>
      <c r="B224" s="20">
        <v>2</v>
      </c>
      <c r="C224" s="20">
        <v>3</v>
      </c>
      <c r="D224" s="26">
        <f t="shared" si="52"/>
        <v>13084000</v>
      </c>
      <c r="E224" s="26">
        <f t="shared" si="53"/>
        <v>13087000</v>
      </c>
      <c r="F224" s="20">
        <f t="shared" si="58"/>
        <v>1165.7844</v>
      </c>
      <c r="G224" s="20">
        <f t="shared" si="59"/>
        <v>1634.5663</v>
      </c>
      <c r="H224" s="22">
        <f t="shared" si="60"/>
        <v>2.4018</v>
      </c>
      <c r="I224" s="22">
        <f t="shared" si="61"/>
        <v>1.6901</v>
      </c>
      <c r="J224" s="22">
        <f t="shared" si="64"/>
        <v>0.7117000000000002</v>
      </c>
      <c r="K224" s="20">
        <f t="shared" si="54"/>
        <v>829.6887574800003</v>
      </c>
      <c r="L224" s="20">
        <f t="shared" si="55"/>
        <v>1163.3208357100004</v>
      </c>
      <c r="M224" s="22">
        <f t="shared" si="62"/>
        <v>2.3612</v>
      </c>
      <c r="N224" s="22">
        <f t="shared" si="63"/>
        <v>1.6681</v>
      </c>
      <c r="O224" s="22">
        <f t="shared" si="65"/>
        <v>0.6931000000000003</v>
      </c>
      <c r="P224" s="20">
        <f t="shared" si="56"/>
        <v>808.0051676400003</v>
      </c>
      <c r="Q224" s="20">
        <f t="shared" si="57"/>
        <v>1132.9179025300004</v>
      </c>
    </row>
    <row r="225" spans="1:17" ht="12.75">
      <c r="A225" s="25" t="s">
        <v>65</v>
      </c>
      <c r="B225" s="20">
        <v>3</v>
      </c>
      <c r="C225" s="20">
        <v>4</v>
      </c>
      <c r="D225" s="26">
        <f t="shared" si="52"/>
        <v>13463000</v>
      </c>
      <c r="E225" s="26">
        <f t="shared" si="53"/>
        <v>13466000</v>
      </c>
      <c r="F225" s="20">
        <f t="shared" si="58"/>
        <v>1199.5533</v>
      </c>
      <c r="G225" s="20">
        <f t="shared" si="59"/>
        <v>1681.9034</v>
      </c>
      <c r="H225" s="22">
        <f t="shared" si="60"/>
        <v>3.0373</v>
      </c>
      <c r="I225" s="22">
        <f t="shared" si="61"/>
        <v>2.4018</v>
      </c>
      <c r="J225" s="22">
        <f t="shared" si="64"/>
        <v>0.6355</v>
      </c>
      <c r="K225" s="20">
        <f t="shared" si="54"/>
        <v>762.31612215</v>
      </c>
      <c r="L225" s="20">
        <f t="shared" si="55"/>
        <v>1068.8496106999999</v>
      </c>
      <c r="M225" s="22">
        <f t="shared" si="62"/>
        <v>2.9745</v>
      </c>
      <c r="N225" s="22">
        <f t="shared" si="63"/>
        <v>2.3612</v>
      </c>
      <c r="O225" s="22">
        <f t="shared" si="65"/>
        <v>0.6132999999999997</v>
      </c>
      <c r="P225" s="20">
        <f t="shared" si="56"/>
        <v>735.6860388899997</v>
      </c>
      <c r="Q225" s="20">
        <f t="shared" si="57"/>
        <v>1031.5113552199996</v>
      </c>
    </row>
    <row r="226" spans="1:17" ht="12.75">
      <c r="A226" s="25" t="s">
        <v>69</v>
      </c>
      <c r="B226" s="20">
        <v>4</v>
      </c>
      <c r="C226" s="20">
        <v>5</v>
      </c>
      <c r="D226" s="26">
        <f t="shared" si="52"/>
        <v>13843000</v>
      </c>
      <c r="E226" s="26">
        <f t="shared" si="53"/>
        <v>13846000</v>
      </c>
      <c r="F226" s="20">
        <f t="shared" si="58"/>
        <v>1233.4113</v>
      </c>
      <c r="G226" s="20">
        <f t="shared" si="59"/>
        <v>1729.3654</v>
      </c>
      <c r="H226" s="22">
        <f t="shared" si="60"/>
        <v>3.6048</v>
      </c>
      <c r="I226" s="22">
        <f t="shared" si="61"/>
        <v>3.0373</v>
      </c>
      <c r="J226" s="22">
        <f t="shared" si="64"/>
        <v>0.5674999999999999</v>
      </c>
      <c r="K226" s="20">
        <f t="shared" si="54"/>
        <v>699.9609127499998</v>
      </c>
      <c r="L226" s="20">
        <f t="shared" si="55"/>
        <v>981.4148644999998</v>
      </c>
      <c r="M226" s="22">
        <f t="shared" si="62"/>
        <v>3.5172</v>
      </c>
      <c r="N226" s="22">
        <f t="shared" si="63"/>
        <v>2.9745</v>
      </c>
      <c r="O226" s="22">
        <f t="shared" si="65"/>
        <v>0.5427</v>
      </c>
      <c r="P226" s="20">
        <f t="shared" si="56"/>
        <v>669.3723125099999</v>
      </c>
      <c r="Q226" s="20">
        <f t="shared" si="57"/>
        <v>938.5266025799999</v>
      </c>
    </row>
    <row r="227" spans="1:17" ht="12.75">
      <c r="A227" s="25" t="s">
        <v>550</v>
      </c>
      <c r="B227" s="20">
        <v>5</v>
      </c>
      <c r="C227" s="20">
        <v>6</v>
      </c>
      <c r="D227" s="26">
        <f t="shared" si="52"/>
        <v>14365000</v>
      </c>
      <c r="E227" s="26">
        <f t="shared" si="53"/>
        <v>14368000</v>
      </c>
      <c r="F227" s="20">
        <f t="shared" si="58"/>
        <v>1279.9215</v>
      </c>
      <c r="G227" s="20">
        <f t="shared" si="59"/>
        <v>1794.5632</v>
      </c>
      <c r="H227" s="22">
        <f t="shared" si="60"/>
        <v>4.1114</v>
      </c>
      <c r="I227" s="22">
        <f t="shared" si="61"/>
        <v>3.6048</v>
      </c>
      <c r="J227" s="22">
        <f t="shared" si="64"/>
        <v>0.5065999999999997</v>
      </c>
      <c r="K227" s="20">
        <f t="shared" si="54"/>
        <v>648.4082318999996</v>
      </c>
      <c r="L227" s="20">
        <f t="shared" si="55"/>
        <v>909.1257171199995</v>
      </c>
      <c r="M227" s="22">
        <f t="shared" si="62"/>
        <v>3.9975</v>
      </c>
      <c r="N227" s="22">
        <f t="shared" si="63"/>
        <v>3.5172</v>
      </c>
      <c r="O227" s="22">
        <f t="shared" si="65"/>
        <v>0.48030000000000017</v>
      </c>
      <c r="P227" s="20">
        <f t="shared" si="56"/>
        <v>614.7462964500002</v>
      </c>
      <c r="Q227" s="20">
        <f t="shared" si="57"/>
        <v>861.9287049600003</v>
      </c>
    </row>
    <row r="228" spans="1:17" ht="12.75">
      <c r="A228" s="25" t="s">
        <v>551</v>
      </c>
      <c r="B228" s="20">
        <v>6</v>
      </c>
      <c r="C228" s="20">
        <v>7</v>
      </c>
      <c r="D228" s="26">
        <f t="shared" si="52"/>
        <v>14745000</v>
      </c>
      <c r="E228" s="26">
        <f t="shared" si="53"/>
        <v>14748000</v>
      </c>
      <c r="F228" s="20">
        <f t="shared" si="58"/>
        <v>1313.7795</v>
      </c>
      <c r="G228" s="20">
        <f t="shared" si="59"/>
        <v>1842.0252</v>
      </c>
      <c r="H228" s="22">
        <f t="shared" si="60"/>
        <v>4.5638</v>
      </c>
      <c r="I228" s="22">
        <f t="shared" si="61"/>
        <v>4.1114</v>
      </c>
      <c r="J228" s="22">
        <f t="shared" si="64"/>
        <v>0.4523999999999999</v>
      </c>
      <c r="K228" s="20">
        <f t="shared" si="54"/>
        <v>594.3538457999999</v>
      </c>
      <c r="L228" s="20">
        <f t="shared" si="55"/>
        <v>833.3322004799999</v>
      </c>
      <c r="M228" s="22">
        <f t="shared" si="62"/>
        <v>4.4226</v>
      </c>
      <c r="N228" s="22">
        <f t="shared" si="63"/>
        <v>3.9975</v>
      </c>
      <c r="O228" s="22">
        <f t="shared" si="65"/>
        <v>0.42510000000000003</v>
      </c>
      <c r="P228" s="20">
        <f t="shared" si="56"/>
        <v>558.4876654500001</v>
      </c>
      <c r="Q228" s="20">
        <f t="shared" si="57"/>
        <v>783.04491252</v>
      </c>
    </row>
    <row r="229" spans="1:17" ht="12.75">
      <c r="A229" s="25" t="s">
        <v>552</v>
      </c>
      <c r="B229" s="20">
        <v>7</v>
      </c>
      <c r="C229" s="20">
        <v>30</v>
      </c>
      <c r="D229" s="26">
        <f t="shared" si="52"/>
        <v>15290000</v>
      </c>
      <c r="E229" s="26">
        <f t="shared" si="53"/>
        <v>15293000</v>
      </c>
      <c r="F229" s="20">
        <f t="shared" si="58"/>
        <v>1362.339</v>
      </c>
      <c r="G229" s="20">
        <f t="shared" si="59"/>
        <v>1910.0957</v>
      </c>
      <c r="H229" s="22">
        <f t="shared" si="60"/>
        <v>8.0552</v>
      </c>
      <c r="I229" s="22">
        <f t="shared" si="61"/>
        <v>4.5638</v>
      </c>
      <c r="J229" s="22">
        <f t="shared" si="64"/>
        <v>3.4913999999999996</v>
      </c>
      <c r="K229" s="20">
        <f t="shared" si="54"/>
        <v>4756.470384599999</v>
      </c>
      <c r="L229" s="20">
        <f t="shared" si="55"/>
        <v>6668.90812698</v>
      </c>
      <c r="M229" s="22">
        <f t="shared" si="62"/>
        <v>7.4957</v>
      </c>
      <c r="N229" s="22">
        <f t="shared" si="63"/>
        <v>4.4226</v>
      </c>
      <c r="O229" s="22">
        <f t="shared" si="65"/>
        <v>3.0731</v>
      </c>
      <c r="P229" s="20">
        <f t="shared" si="56"/>
        <v>4186.6039809</v>
      </c>
      <c r="Q229" s="20">
        <f t="shared" si="57"/>
        <v>5869.9150956700005</v>
      </c>
    </row>
    <row r="230" spans="2:17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ht="12.75">
      <c r="B231" s="18" t="s">
        <v>419</v>
      </c>
      <c r="C231" s="18" t="s">
        <v>419</v>
      </c>
      <c r="D231" s="18" t="s">
        <v>419</v>
      </c>
      <c r="E231" s="18" t="s">
        <v>419</v>
      </c>
      <c r="F231" s="18" t="s">
        <v>419</v>
      </c>
      <c r="G231" s="18" t="s">
        <v>419</v>
      </c>
      <c r="H231" s="18" t="s">
        <v>419</v>
      </c>
      <c r="I231" s="18" t="s">
        <v>419</v>
      </c>
      <c r="J231" s="18" t="s">
        <v>419</v>
      </c>
      <c r="K231" s="18" t="s">
        <v>419</v>
      </c>
      <c r="L231" s="18" t="s">
        <v>419</v>
      </c>
      <c r="M231" s="18" t="s">
        <v>419</v>
      </c>
      <c r="N231" s="18" t="s">
        <v>419</v>
      </c>
      <c r="O231" s="18" t="s">
        <v>419</v>
      </c>
      <c r="P231" s="18" t="s">
        <v>419</v>
      </c>
      <c r="Q231" s="18" t="s">
        <v>419</v>
      </c>
    </row>
    <row r="232" spans="2:17" ht="12.75">
      <c r="B232" s="17" t="s">
        <v>23</v>
      </c>
      <c r="K232" s="20">
        <f>SUM(K221:K229)</f>
        <v>11243.73257568</v>
      </c>
      <c r="L232" s="20">
        <f>SUM(L221:L229)</f>
        <v>15764.68445496</v>
      </c>
      <c r="P232" s="20">
        <f>SUM(P221:P229)</f>
        <v>10500.77237715</v>
      </c>
      <c r="Q232" s="20">
        <f>SUM(Q221:Q229)</f>
        <v>14722.996372640002</v>
      </c>
    </row>
    <row r="233" spans="2:17" ht="12.75">
      <c r="B233" s="18" t="s">
        <v>419</v>
      </c>
      <c r="C233" s="18" t="s">
        <v>419</v>
      </c>
      <c r="D233" s="18" t="s">
        <v>419</v>
      </c>
      <c r="E233" s="18" t="s">
        <v>419</v>
      </c>
      <c r="F233" s="18" t="s">
        <v>419</v>
      </c>
      <c r="G233" s="18" t="s">
        <v>419</v>
      </c>
      <c r="H233" s="18" t="s">
        <v>419</v>
      </c>
      <c r="I233" s="18" t="s">
        <v>419</v>
      </c>
      <c r="J233" s="18" t="s">
        <v>419</v>
      </c>
      <c r="K233" s="18" t="s">
        <v>419</v>
      </c>
      <c r="L233" s="18" t="s">
        <v>419</v>
      </c>
      <c r="M233" s="18" t="s">
        <v>419</v>
      </c>
      <c r="N233" s="18" t="s">
        <v>419</v>
      </c>
      <c r="O233" s="18" t="s">
        <v>419</v>
      </c>
      <c r="P233" s="18" t="s">
        <v>419</v>
      </c>
      <c r="Q233" s="18" t="s">
        <v>419</v>
      </c>
    </row>
    <row r="236" spans="2:8" ht="12.75">
      <c r="B236" s="17" t="s">
        <v>553</v>
      </c>
      <c r="H236" s="17" t="s">
        <v>554</v>
      </c>
    </row>
    <row r="237" spans="2:8" ht="12.75">
      <c r="B237" s="18" t="s">
        <v>419</v>
      </c>
      <c r="C237" s="18" t="s">
        <v>419</v>
      </c>
      <c r="D237" s="18" t="s">
        <v>419</v>
      </c>
      <c r="E237" s="18" t="s">
        <v>419</v>
      </c>
      <c r="F237" s="18" t="s">
        <v>419</v>
      </c>
      <c r="H237" s="18" t="s">
        <v>419</v>
      </c>
    </row>
    <row r="238" spans="2:8" ht="12.75">
      <c r="B238" s="17" t="s">
        <v>555</v>
      </c>
      <c r="H238" s="20">
        <f>$G$27*1000</f>
        <v>32759.999999999996</v>
      </c>
    </row>
    <row r="240" spans="2:8" ht="12.75">
      <c r="B240" s="17" t="s">
        <v>556</v>
      </c>
      <c r="H240" s="20">
        <f>B56</f>
        <v>268</v>
      </c>
    </row>
    <row r="242" spans="2:8" ht="12.75">
      <c r="B242" s="17" t="s">
        <v>557</v>
      </c>
      <c r="E242" s="17" t="s">
        <v>558</v>
      </c>
      <c r="H242" s="20">
        <f>(H238*H240)/100000</f>
        <v>87.79679999999998</v>
      </c>
    </row>
    <row r="244" ht="12.75">
      <c r="B244" s="17" t="s">
        <v>559</v>
      </c>
    </row>
    <row r="245" spans="2:6" ht="12.75">
      <c r="B245" s="18" t="s">
        <v>419</v>
      </c>
      <c r="C245" s="18" t="s">
        <v>560</v>
      </c>
      <c r="D245" s="18" t="s">
        <v>419</v>
      </c>
      <c r="E245" s="18" t="s">
        <v>419</v>
      </c>
      <c r="F245" s="18" t="s">
        <v>419</v>
      </c>
    </row>
    <row r="246" spans="2:8" ht="12.75">
      <c r="B246" s="20" t="str">
        <f>H100</f>
        <v>At 12 %</v>
      </c>
      <c r="C246" s="17" t="s">
        <v>494</v>
      </c>
      <c r="F246" s="20">
        <v>30</v>
      </c>
      <c r="G246" s="22">
        <f>ROUND((((1+$E$100)^(F246))-1)/(($E$100)*((1+$E$100)^F246)),4)</f>
        <v>8.0552</v>
      </c>
      <c r="H246" s="20">
        <f>$G$246*$H$242</f>
        <v>707.2207833599997</v>
      </c>
    </row>
    <row r="247" ht="12.75">
      <c r="B247" s="17" t="s">
        <v>438</v>
      </c>
    </row>
    <row r="248" spans="2:8" ht="12.75">
      <c r="B248" s="20" t="str">
        <f>H102</f>
        <v>At 13 %</v>
      </c>
      <c r="C248" s="17" t="s">
        <v>494</v>
      </c>
      <c r="D248" s="17" t="s">
        <v>561</v>
      </c>
      <c r="F248" s="20">
        <v>30</v>
      </c>
      <c r="G248" s="22">
        <f>ROUND((((1+$E$102)^(F248))-1)/(($E$102)*((1+$E$102)^F248)),4)</f>
        <v>7.4957</v>
      </c>
      <c r="H248" s="20">
        <f>$G$248*$H$242</f>
        <v>658.0984737599998</v>
      </c>
    </row>
    <row r="250" ht="12.75">
      <c r="A250" s="17" t="s">
        <v>467</v>
      </c>
    </row>
    <row r="251" spans="2:8" ht="12.75">
      <c r="B251" s="17" t="s">
        <v>562</v>
      </c>
      <c r="H251" s="17" t="s">
        <v>563</v>
      </c>
    </row>
    <row r="252" spans="2:8" ht="12.75">
      <c r="B252" s="18" t="s">
        <v>419</v>
      </c>
      <c r="C252" s="18" t="s">
        <v>419</v>
      </c>
      <c r="D252" s="18" t="s">
        <v>419</v>
      </c>
      <c r="E252" s="18" t="s">
        <v>419</v>
      </c>
      <c r="F252" s="18" t="s">
        <v>419</v>
      </c>
      <c r="G252" s="18" t="s">
        <v>419</v>
      </c>
      <c r="H252" s="18" t="s">
        <v>419</v>
      </c>
    </row>
    <row r="253" spans="2:13" ht="12.75">
      <c r="B253" s="18" t="s">
        <v>419</v>
      </c>
      <c r="C253" s="18" t="s">
        <v>419</v>
      </c>
      <c r="D253" s="18" t="s">
        <v>419</v>
      </c>
      <c r="E253" s="18" t="s">
        <v>419</v>
      </c>
      <c r="F253" s="18" t="s">
        <v>419</v>
      </c>
      <c r="G253" s="18" t="s">
        <v>419</v>
      </c>
      <c r="H253" s="18" t="s">
        <v>419</v>
      </c>
      <c r="I253" s="18" t="s">
        <v>419</v>
      </c>
      <c r="J253" s="18" t="s">
        <v>419</v>
      </c>
      <c r="K253" s="18" t="s">
        <v>419</v>
      </c>
      <c r="L253" s="18" t="s">
        <v>419</v>
      </c>
      <c r="M253" s="18" t="s">
        <v>419</v>
      </c>
    </row>
    <row r="254" spans="2:8" ht="12.75">
      <c r="B254" s="17" t="s">
        <v>564</v>
      </c>
      <c r="D254" s="17" t="s">
        <v>565</v>
      </c>
      <c r="F254" s="17" t="s">
        <v>566</v>
      </c>
      <c r="H254" s="17" t="s">
        <v>567</v>
      </c>
    </row>
    <row r="255" spans="2:6" ht="12.75">
      <c r="B255" s="17" t="s">
        <v>568</v>
      </c>
      <c r="F255" s="17" t="s">
        <v>569</v>
      </c>
    </row>
    <row r="256" spans="2:13" ht="12.75">
      <c r="B256" s="18" t="s">
        <v>419</v>
      </c>
      <c r="C256" s="18" t="s">
        <v>419</v>
      </c>
      <c r="D256" s="18" t="s">
        <v>419</v>
      </c>
      <c r="E256" s="18" t="s">
        <v>419</v>
      </c>
      <c r="F256" s="18" t="s">
        <v>419</v>
      </c>
      <c r="G256" s="18" t="s">
        <v>419</v>
      </c>
      <c r="H256" s="18" t="s">
        <v>419</v>
      </c>
      <c r="I256" s="18" t="s">
        <v>419</v>
      </c>
      <c r="J256" s="18" t="s">
        <v>419</v>
      </c>
      <c r="K256" s="18" t="s">
        <v>419</v>
      </c>
      <c r="L256" s="18" t="s">
        <v>419</v>
      </c>
      <c r="M256" s="18" t="s">
        <v>419</v>
      </c>
    </row>
    <row r="257" spans="8:12" ht="12.75">
      <c r="H257" s="17" t="s">
        <v>570</v>
      </c>
      <c r="J257" s="17" t="s">
        <v>571</v>
      </c>
      <c r="K257" s="17" t="s">
        <v>82</v>
      </c>
      <c r="L257" s="17" t="s">
        <v>572</v>
      </c>
    </row>
    <row r="258" spans="3:11" ht="12.75">
      <c r="C258" s="21" t="s">
        <v>208</v>
      </c>
      <c r="D258" s="17" t="s">
        <v>496</v>
      </c>
      <c r="E258" s="17" t="s">
        <v>426</v>
      </c>
      <c r="F258" s="17" t="s">
        <v>573</v>
      </c>
      <c r="G258" s="21" t="s">
        <v>82</v>
      </c>
      <c r="H258" s="17" t="s">
        <v>574</v>
      </c>
      <c r="J258" s="17" t="s">
        <v>575</v>
      </c>
      <c r="K258" s="17" t="s">
        <v>576</v>
      </c>
    </row>
    <row r="259" spans="7:11" ht="12.75">
      <c r="G259" s="21" t="s">
        <v>577</v>
      </c>
      <c r="H259" s="17" t="s">
        <v>578</v>
      </c>
      <c r="J259" s="17" t="s">
        <v>578</v>
      </c>
      <c r="K259" s="17" t="s">
        <v>579</v>
      </c>
    </row>
    <row r="260" spans="2:13" ht="12.75">
      <c r="B260" s="18" t="s">
        <v>419</v>
      </c>
      <c r="C260" s="18" t="s">
        <v>419</v>
      </c>
      <c r="D260" s="18" t="s">
        <v>419</v>
      </c>
      <c r="E260" s="18" t="s">
        <v>419</v>
      </c>
      <c r="F260" s="18" t="s">
        <v>419</v>
      </c>
      <c r="G260" s="18" t="s">
        <v>419</v>
      </c>
      <c r="H260" s="18" t="s">
        <v>419</v>
      </c>
      <c r="I260" s="18" t="s">
        <v>419</v>
      </c>
      <c r="J260" s="18" t="s">
        <v>419</v>
      </c>
      <c r="K260" s="18" t="s">
        <v>419</v>
      </c>
      <c r="L260" s="18" t="s">
        <v>419</v>
      </c>
      <c r="M260" s="18" t="s">
        <v>419</v>
      </c>
    </row>
    <row r="261" spans="2:12" ht="12.75">
      <c r="B261" s="17" t="s">
        <v>580</v>
      </c>
      <c r="C261" s="20">
        <v>5</v>
      </c>
      <c r="D261" s="20">
        <f>C76</f>
        <v>49</v>
      </c>
      <c r="E261" s="20">
        <f>E76</f>
        <v>74</v>
      </c>
      <c r="F261" s="20">
        <f aca="true" t="shared" si="66" ref="F261:F269">(((C261)*($G$12-0.1*$G$12))/35)+(0.1*$G$12)</f>
        <v>41.14285714285714</v>
      </c>
      <c r="G261" s="20">
        <f aca="true" t="shared" si="67" ref="G261:G269">D261*F261</f>
        <v>2015.9999999999998</v>
      </c>
      <c r="H261" s="20">
        <f aca="true" t="shared" si="68" ref="H261:H269">(((C261+1)*(($H$12-$H$14)-0.1*($H$12-$H$14)))/36)+(0.1*($H$12-$H$14))</f>
        <v>34.75</v>
      </c>
      <c r="J261" s="20">
        <f aca="true" t="shared" si="69" ref="J261:J269">(((C261+1)*($H$14-0.1*$H$14))/18)+(0.1*$H$14)</f>
        <v>16</v>
      </c>
      <c r="K261" s="20">
        <f aca="true" t="shared" si="70" ref="K261:K269">H261+J261</f>
        <v>50.75</v>
      </c>
      <c r="L261" s="20">
        <f aca="true" t="shared" si="71" ref="L261:L269">E261*K261</f>
        <v>3755.5</v>
      </c>
    </row>
    <row r="262" spans="2:12" ht="12.75">
      <c r="B262" s="17" t="s">
        <v>581</v>
      </c>
      <c r="C262" s="20">
        <v>6</v>
      </c>
      <c r="D262" s="20">
        <v>2</v>
      </c>
      <c r="E262" s="20">
        <v>2</v>
      </c>
      <c r="F262" s="20">
        <f t="shared" si="66"/>
        <v>45.77142857142857</v>
      </c>
      <c r="G262" s="20">
        <f t="shared" si="67"/>
        <v>91.54285714285714</v>
      </c>
      <c r="H262" s="20">
        <f t="shared" si="68"/>
        <v>38.225</v>
      </c>
      <c r="J262" s="20">
        <f t="shared" si="69"/>
        <v>18</v>
      </c>
      <c r="K262" s="20">
        <f t="shared" si="70"/>
        <v>56.225</v>
      </c>
      <c r="L262" s="20">
        <f t="shared" si="71"/>
        <v>112.45</v>
      </c>
    </row>
    <row r="263" spans="2:12" ht="12.75">
      <c r="B263" s="17" t="s">
        <v>582</v>
      </c>
      <c r="C263" s="20">
        <v>7</v>
      </c>
      <c r="D263" s="20">
        <v>2</v>
      </c>
      <c r="E263" s="20">
        <v>2</v>
      </c>
      <c r="F263" s="20">
        <f t="shared" si="66"/>
        <v>50.4</v>
      </c>
      <c r="G263" s="20">
        <f t="shared" si="67"/>
        <v>100.8</v>
      </c>
      <c r="H263" s="20">
        <f t="shared" si="68"/>
        <v>41.699999999999996</v>
      </c>
      <c r="J263" s="20">
        <f t="shared" si="69"/>
        <v>20</v>
      </c>
      <c r="K263" s="20">
        <f t="shared" si="70"/>
        <v>61.699999999999996</v>
      </c>
      <c r="L263" s="20">
        <f t="shared" si="71"/>
        <v>123.39999999999999</v>
      </c>
    </row>
    <row r="264" spans="2:12" ht="12.75">
      <c r="B264" s="17" t="s">
        <v>583</v>
      </c>
      <c r="C264" s="20">
        <v>8</v>
      </c>
      <c r="D264" s="20">
        <v>2</v>
      </c>
      <c r="E264" s="20">
        <v>3</v>
      </c>
      <c r="F264" s="20">
        <f t="shared" si="66"/>
        <v>55.02857142857143</v>
      </c>
      <c r="G264" s="20">
        <f t="shared" si="67"/>
        <v>110.05714285714286</v>
      </c>
      <c r="H264" s="20">
        <f t="shared" si="68"/>
        <v>45.175</v>
      </c>
      <c r="J264" s="20">
        <f t="shared" si="69"/>
        <v>22</v>
      </c>
      <c r="K264" s="20">
        <f t="shared" si="70"/>
        <v>67.175</v>
      </c>
      <c r="L264" s="20">
        <f t="shared" si="71"/>
        <v>201.52499999999998</v>
      </c>
    </row>
    <row r="265" spans="2:12" ht="12.75">
      <c r="B265" s="17" t="s">
        <v>584</v>
      </c>
      <c r="C265" s="20">
        <v>9</v>
      </c>
      <c r="D265" s="20">
        <v>0</v>
      </c>
      <c r="E265" s="20">
        <v>2</v>
      </c>
      <c r="F265" s="20">
        <f t="shared" si="66"/>
        <v>59.65714285714286</v>
      </c>
      <c r="G265" s="20">
        <f t="shared" si="67"/>
        <v>0</v>
      </c>
      <c r="H265" s="20">
        <f t="shared" si="68"/>
        <v>48.65</v>
      </c>
      <c r="J265" s="20">
        <f t="shared" si="69"/>
        <v>24</v>
      </c>
      <c r="K265" s="20">
        <f t="shared" si="70"/>
        <v>72.65</v>
      </c>
      <c r="L265" s="20">
        <f t="shared" si="71"/>
        <v>145.3</v>
      </c>
    </row>
    <row r="266" spans="2:12" ht="12.75">
      <c r="B266" s="17" t="s">
        <v>585</v>
      </c>
      <c r="C266" s="20">
        <v>10</v>
      </c>
      <c r="D266" s="20">
        <v>2</v>
      </c>
      <c r="E266" s="20">
        <v>2</v>
      </c>
      <c r="F266" s="20">
        <f t="shared" si="66"/>
        <v>64.28571428571428</v>
      </c>
      <c r="G266" s="20">
        <f t="shared" si="67"/>
        <v>128.57142857142856</v>
      </c>
      <c r="H266" s="20">
        <f t="shared" si="68"/>
        <v>52.12499999999999</v>
      </c>
      <c r="J266" s="20">
        <f t="shared" si="69"/>
        <v>26</v>
      </c>
      <c r="K266" s="20">
        <f t="shared" si="70"/>
        <v>78.125</v>
      </c>
      <c r="L266" s="20">
        <f t="shared" si="71"/>
        <v>156.25</v>
      </c>
    </row>
    <row r="267" spans="2:12" ht="12.75">
      <c r="B267" s="17" t="s">
        <v>586</v>
      </c>
      <c r="C267" s="20">
        <v>11</v>
      </c>
      <c r="D267" s="20">
        <v>3</v>
      </c>
      <c r="E267" s="20">
        <v>4</v>
      </c>
      <c r="F267" s="20">
        <f t="shared" si="66"/>
        <v>68.91428571428571</v>
      </c>
      <c r="G267" s="20">
        <f t="shared" si="67"/>
        <v>206.74285714285713</v>
      </c>
      <c r="H267" s="20">
        <f t="shared" si="68"/>
        <v>55.599999999999994</v>
      </c>
      <c r="J267" s="20">
        <f t="shared" si="69"/>
        <v>28</v>
      </c>
      <c r="K267" s="20">
        <f t="shared" si="70"/>
        <v>83.6</v>
      </c>
      <c r="L267" s="20">
        <f t="shared" si="71"/>
        <v>334.4</v>
      </c>
    </row>
    <row r="268" spans="2:12" ht="12.75">
      <c r="B268" s="17" t="s">
        <v>587</v>
      </c>
      <c r="C268" s="20">
        <v>12</v>
      </c>
      <c r="D268" s="20">
        <v>2</v>
      </c>
      <c r="E268" s="20">
        <v>2</v>
      </c>
      <c r="F268" s="20">
        <f t="shared" si="66"/>
        <v>73.54285714285714</v>
      </c>
      <c r="G268" s="20">
        <f t="shared" si="67"/>
        <v>147.0857142857143</v>
      </c>
      <c r="H268" s="20">
        <f t="shared" si="68"/>
        <v>59.074999999999996</v>
      </c>
      <c r="J268" s="20">
        <f t="shared" si="69"/>
        <v>30</v>
      </c>
      <c r="K268" s="20">
        <f t="shared" si="70"/>
        <v>89.07499999999999</v>
      </c>
      <c r="L268" s="20">
        <f t="shared" si="71"/>
        <v>178.14999999999998</v>
      </c>
    </row>
    <row r="269" spans="2:12" ht="12.75">
      <c r="B269" s="17" t="s">
        <v>588</v>
      </c>
      <c r="C269" s="20">
        <v>13</v>
      </c>
      <c r="D269" s="20">
        <v>2</v>
      </c>
      <c r="E269" s="20">
        <v>4</v>
      </c>
      <c r="F269" s="20">
        <f t="shared" si="66"/>
        <v>78.17142857142858</v>
      </c>
      <c r="G269" s="20">
        <f t="shared" si="67"/>
        <v>156.34285714285716</v>
      </c>
      <c r="H269" s="20">
        <f t="shared" si="68"/>
        <v>62.55</v>
      </c>
      <c r="J269" s="20">
        <f t="shared" si="69"/>
        <v>32</v>
      </c>
      <c r="K269" s="20">
        <f t="shared" si="70"/>
        <v>94.55</v>
      </c>
      <c r="L269" s="20">
        <f t="shared" si="71"/>
        <v>378.2</v>
      </c>
    </row>
    <row r="271" spans="2:12" ht="12.75">
      <c r="B271" s="18" t="s">
        <v>419</v>
      </c>
      <c r="C271" s="18" t="s">
        <v>419</v>
      </c>
      <c r="D271" s="18" t="s">
        <v>419</v>
      </c>
      <c r="E271" s="18" t="s">
        <v>419</v>
      </c>
      <c r="F271" s="18" t="s">
        <v>419</v>
      </c>
      <c r="G271" s="18" t="s">
        <v>419</v>
      </c>
      <c r="H271" s="18" t="s">
        <v>419</v>
      </c>
      <c r="I271" s="18" t="s">
        <v>419</v>
      </c>
      <c r="J271" s="18" t="s">
        <v>419</v>
      </c>
      <c r="K271" s="18" t="s">
        <v>419</v>
      </c>
      <c r="L271" s="18" t="s">
        <v>419</v>
      </c>
    </row>
    <row r="272" spans="2:12" ht="12.75">
      <c r="B272" s="17" t="s">
        <v>23</v>
      </c>
      <c r="G272" s="20">
        <f>SUM(G261:G269)</f>
        <v>2957.1428571428573</v>
      </c>
      <c r="L272" s="20">
        <f>SUM(L261:L269)</f>
        <v>5385.174999999999</v>
      </c>
    </row>
    <row r="273" spans="2:12" ht="12.75">
      <c r="B273" s="18" t="s">
        <v>419</v>
      </c>
      <c r="C273" s="18" t="s">
        <v>419</v>
      </c>
      <c r="D273" s="18" t="s">
        <v>419</v>
      </c>
      <c r="E273" s="18" t="s">
        <v>419</v>
      </c>
      <c r="F273" s="18" t="s">
        <v>419</v>
      </c>
      <c r="G273" s="18" t="s">
        <v>419</v>
      </c>
      <c r="H273" s="18" t="s">
        <v>419</v>
      </c>
      <c r="I273" s="18" t="s">
        <v>419</v>
      </c>
      <c r="J273" s="18" t="s">
        <v>419</v>
      </c>
      <c r="K273" s="18" t="s">
        <v>419</v>
      </c>
      <c r="L273" s="18" t="s">
        <v>419</v>
      </c>
    </row>
    <row r="275" ht="12.75">
      <c r="B275" s="17" t="s">
        <v>589</v>
      </c>
    </row>
    <row r="276" spans="2:10" ht="12.75">
      <c r="B276" s="18" t="s">
        <v>419</v>
      </c>
      <c r="C276" s="18" t="s">
        <v>419</v>
      </c>
      <c r="D276" s="18" t="s">
        <v>419</v>
      </c>
      <c r="E276" s="18" t="s">
        <v>419</v>
      </c>
      <c r="F276" s="18" t="s">
        <v>419</v>
      </c>
      <c r="G276" s="18" t="s">
        <v>419</v>
      </c>
      <c r="H276" s="18" t="s">
        <v>419</v>
      </c>
      <c r="I276" s="18" t="s">
        <v>419</v>
      </c>
      <c r="J276" s="18" t="s">
        <v>419</v>
      </c>
    </row>
    <row r="277" spans="3:8" ht="12.75">
      <c r="C277" s="17" t="s">
        <v>590</v>
      </c>
      <c r="D277" s="17" t="s">
        <v>516</v>
      </c>
      <c r="E277" s="17" t="s">
        <v>566</v>
      </c>
      <c r="H277" s="17" t="s">
        <v>591</v>
      </c>
    </row>
    <row r="278" spans="2:10" ht="12.75">
      <c r="B278" s="17" t="s">
        <v>135</v>
      </c>
      <c r="C278" s="17" t="s">
        <v>592</v>
      </c>
      <c r="E278" s="17" t="s">
        <v>593</v>
      </c>
      <c r="F278" s="17" t="s">
        <v>438</v>
      </c>
      <c r="G278" s="17" t="s">
        <v>426</v>
      </c>
      <c r="H278" s="17" t="s">
        <v>593</v>
      </c>
      <c r="I278" s="17" t="s">
        <v>438</v>
      </c>
      <c r="J278" s="17" t="s">
        <v>426</v>
      </c>
    </row>
    <row r="279" spans="2:10" ht="12.75">
      <c r="B279" s="18" t="s">
        <v>419</v>
      </c>
      <c r="C279" s="18" t="s">
        <v>419</v>
      </c>
      <c r="D279" s="18" t="s">
        <v>419</v>
      </c>
      <c r="E279" s="18" t="s">
        <v>419</v>
      </c>
      <c r="F279" s="18" t="s">
        <v>419</v>
      </c>
      <c r="G279" s="18" t="s">
        <v>419</v>
      </c>
      <c r="H279" s="18" t="s">
        <v>419</v>
      </c>
      <c r="I279" s="18" t="s">
        <v>419</v>
      </c>
      <c r="J279" s="18" t="s">
        <v>419</v>
      </c>
    </row>
    <row r="280" spans="2:10" ht="12.75">
      <c r="B280" s="20">
        <v>30</v>
      </c>
      <c r="C280" s="20" t="str">
        <f>H100</f>
        <v>At 12 %</v>
      </c>
      <c r="D280" s="22">
        <f>ROUND((1/((1+$E$100)^B280)),4)</f>
        <v>0.0334</v>
      </c>
      <c r="E280" s="20">
        <f>$G$272</f>
        <v>2957.1428571428573</v>
      </c>
      <c r="G280" s="20">
        <f>$L$272</f>
        <v>5385.174999999999</v>
      </c>
      <c r="H280" s="20">
        <f>D280*E280</f>
        <v>98.76857142857143</v>
      </c>
      <c r="J280" s="20">
        <f>D280*G280</f>
        <v>179.86484499999997</v>
      </c>
    </row>
    <row r="281" spans="2:10" ht="12.75">
      <c r="B281" s="20">
        <v>30</v>
      </c>
      <c r="C281" s="20" t="str">
        <f>H102</f>
        <v>At 13 %</v>
      </c>
      <c r="D281" s="22">
        <f>ROUND((1/((1+$E$102)^B281)),4)</f>
        <v>0.0256</v>
      </c>
      <c r="E281" s="20">
        <f>$G$272</f>
        <v>2957.1428571428573</v>
      </c>
      <c r="G281" s="20">
        <f>$L$272</f>
        <v>5385.174999999999</v>
      </c>
      <c r="H281" s="20">
        <f>D281*E281</f>
        <v>75.70285714285716</v>
      </c>
      <c r="J281" s="20">
        <f>D281*G281</f>
        <v>137.86048</v>
      </c>
    </row>
    <row r="283" spans="2:10" ht="12.75">
      <c r="B283" s="18" t="s">
        <v>419</v>
      </c>
      <c r="C283" s="18" t="s">
        <v>419</v>
      </c>
      <c r="D283" s="18" t="s">
        <v>419</v>
      </c>
      <c r="E283" s="18" t="s">
        <v>419</v>
      </c>
      <c r="F283" s="18" t="s">
        <v>419</v>
      </c>
      <c r="G283" s="18" t="s">
        <v>419</v>
      </c>
      <c r="H283" s="18" t="s">
        <v>419</v>
      </c>
      <c r="I283" s="18" t="s">
        <v>419</v>
      </c>
      <c r="J283" s="18" t="s">
        <v>419</v>
      </c>
    </row>
    <row r="284" ht="12.75">
      <c r="A284" s="17" t="s">
        <v>467</v>
      </c>
    </row>
    <row r="285" spans="2:8" ht="12.75">
      <c r="B285" s="17" t="s">
        <v>594</v>
      </c>
      <c r="H285" s="17" t="s">
        <v>595</v>
      </c>
    </row>
    <row r="286" spans="2:8" ht="12.75">
      <c r="B286" s="18" t="s">
        <v>419</v>
      </c>
      <c r="C286" s="18" t="s">
        <v>419</v>
      </c>
      <c r="D286" s="18" t="s">
        <v>419</v>
      </c>
      <c r="E286" s="18" t="s">
        <v>419</v>
      </c>
      <c r="F286" s="18" t="s">
        <v>419</v>
      </c>
      <c r="G286" s="18" t="s">
        <v>419</v>
      </c>
      <c r="H286" s="18" t="s">
        <v>419</v>
      </c>
    </row>
    <row r="287" spans="2:10" ht="12.75">
      <c r="B287" s="18" t="s">
        <v>419</v>
      </c>
      <c r="C287" s="18" t="s">
        <v>419</v>
      </c>
      <c r="D287" s="18" t="s">
        <v>419</v>
      </c>
      <c r="E287" s="18" t="s">
        <v>419</v>
      </c>
      <c r="F287" s="18" t="s">
        <v>419</v>
      </c>
      <c r="G287" s="18" t="s">
        <v>419</v>
      </c>
      <c r="H287" s="18" t="s">
        <v>419</v>
      </c>
      <c r="I287" s="18" t="s">
        <v>419</v>
      </c>
      <c r="J287" s="18" t="s">
        <v>419</v>
      </c>
    </row>
    <row r="288" spans="2:11" ht="12.75">
      <c r="B288" s="17" t="s">
        <v>596</v>
      </c>
      <c r="C288" s="17" t="s">
        <v>597</v>
      </c>
      <c r="G288" s="21" t="s">
        <v>598</v>
      </c>
      <c r="K288" s="21" t="s">
        <v>599</v>
      </c>
    </row>
    <row r="289" spans="6:12" ht="12.75">
      <c r="F289" s="17" t="s">
        <v>600</v>
      </c>
      <c r="H289" s="17" t="s">
        <v>601</v>
      </c>
      <c r="J289" s="17" t="s">
        <v>600</v>
      </c>
      <c r="L289" s="17" t="s">
        <v>601</v>
      </c>
    </row>
    <row r="290" spans="2:10" ht="12.75">
      <c r="B290" s="18" t="s">
        <v>419</v>
      </c>
      <c r="C290" s="18" t="s">
        <v>419</v>
      </c>
      <c r="D290" s="18" t="s">
        <v>419</v>
      </c>
      <c r="E290" s="18" t="s">
        <v>419</v>
      </c>
      <c r="F290" s="18" t="s">
        <v>419</v>
      </c>
      <c r="G290" s="18" t="s">
        <v>419</v>
      </c>
      <c r="H290" s="18" t="s">
        <v>419</v>
      </c>
      <c r="I290" s="18" t="s">
        <v>419</v>
      </c>
      <c r="J290" s="18" t="s">
        <v>419</v>
      </c>
    </row>
    <row r="291" spans="2:12" ht="12.75">
      <c r="B291" s="17" t="s">
        <v>602</v>
      </c>
      <c r="C291" s="17" t="s">
        <v>603</v>
      </c>
      <c r="F291" s="20">
        <v>14.51</v>
      </c>
      <c r="H291" s="20">
        <v>0.73</v>
      </c>
      <c r="J291" s="20">
        <v>0</v>
      </c>
      <c r="L291" s="20">
        <v>0</v>
      </c>
    </row>
    <row r="292" spans="3:12" ht="12.75">
      <c r="C292" s="17" t="s">
        <v>604</v>
      </c>
      <c r="F292" s="20">
        <f>F291</f>
        <v>14.51</v>
      </c>
      <c r="H292" s="20">
        <f>(F292+H291)*0.5</f>
        <v>7.62</v>
      </c>
      <c r="J292" s="20">
        <v>0</v>
      </c>
      <c r="L292" s="20">
        <v>0</v>
      </c>
    </row>
    <row r="293" spans="3:12" ht="12.75">
      <c r="C293" s="17" t="s">
        <v>605</v>
      </c>
      <c r="L293" s="17" t="s">
        <v>438</v>
      </c>
    </row>
    <row r="294" spans="2:12" ht="12.75">
      <c r="B294" s="17" t="s">
        <v>606</v>
      </c>
      <c r="C294" s="17" t="s">
        <v>607</v>
      </c>
      <c r="F294" s="20">
        <f>62.38+0.54</f>
        <v>62.92</v>
      </c>
      <c r="H294" s="20">
        <f>3.13/62.38*62.92</f>
        <v>3.157095222827829</v>
      </c>
      <c r="J294" s="20">
        <v>0</v>
      </c>
      <c r="L294" s="20">
        <v>0</v>
      </c>
    </row>
    <row r="295" spans="3:12" ht="12.75">
      <c r="C295" s="17" t="s">
        <v>608</v>
      </c>
      <c r="L295" s="17" t="s">
        <v>438</v>
      </c>
    </row>
    <row r="296" spans="3:12" ht="12.75">
      <c r="C296" s="17" t="s">
        <v>604</v>
      </c>
      <c r="F296" s="20">
        <f>F294</f>
        <v>62.92</v>
      </c>
      <c r="H296" s="20">
        <f>(F296+H294)*0.5</f>
        <v>33.03854761141392</v>
      </c>
      <c r="J296" s="20">
        <v>0</v>
      </c>
      <c r="L296" s="20">
        <v>0</v>
      </c>
    </row>
    <row r="297" spans="3:12" ht="12.75">
      <c r="C297" s="17" t="s">
        <v>605</v>
      </c>
      <c r="L297" s="17" t="s">
        <v>438</v>
      </c>
    </row>
    <row r="298" spans="2:12" ht="12.75">
      <c r="B298" s="17" t="s">
        <v>609</v>
      </c>
      <c r="C298" s="17" t="s">
        <v>610</v>
      </c>
      <c r="F298" s="20">
        <f>2248.06+1.09</f>
        <v>2249.15</v>
      </c>
      <c r="H298" s="20">
        <f>0.1*F298</f>
        <v>224.91500000000002</v>
      </c>
      <c r="J298" s="20">
        <v>0</v>
      </c>
      <c r="L298" s="20">
        <v>0</v>
      </c>
    </row>
    <row r="299" spans="3:5" ht="12.75">
      <c r="C299" s="17" t="s">
        <v>611</v>
      </c>
      <c r="E299" s="27"/>
    </row>
    <row r="300" spans="2:12" ht="12.75">
      <c r="B300" s="17" t="s">
        <v>612</v>
      </c>
      <c r="C300" s="17" t="s">
        <v>613</v>
      </c>
      <c r="F300" s="20">
        <f>233+104.54</f>
        <v>337.54</v>
      </c>
      <c r="H300" s="20">
        <f>0.1*F300</f>
        <v>33.754000000000005</v>
      </c>
      <c r="J300" s="20">
        <v>249.16</v>
      </c>
      <c r="L300" s="20">
        <v>69.62</v>
      </c>
    </row>
    <row r="301" ht="12.75">
      <c r="C301" s="17" t="s">
        <v>614</v>
      </c>
    </row>
    <row r="302" spans="2:12" ht="12.75">
      <c r="B302" s="17" t="s">
        <v>615</v>
      </c>
      <c r="C302" s="17" t="s">
        <v>616</v>
      </c>
      <c r="F302" s="20">
        <f>370.14+9.62</f>
        <v>379.76</v>
      </c>
      <c r="H302" s="20">
        <f>106.42/370.14*379.76</f>
        <v>109.18587345328794</v>
      </c>
      <c r="J302" s="20">
        <v>93.51</v>
      </c>
      <c r="L302" s="20">
        <v>9.35</v>
      </c>
    </row>
    <row r="303" spans="2:12" ht="12.75">
      <c r="B303" s="17"/>
      <c r="C303" s="17" t="s">
        <v>617</v>
      </c>
      <c r="F303" s="20">
        <f>304.14</f>
        <v>304.14</v>
      </c>
      <c r="H303" s="20">
        <v>98.69</v>
      </c>
      <c r="J303" s="20"/>
      <c r="L303" s="20"/>
    </row>
    <row r="304" spans="2:12" ht="12.75">
      <c r="B304" s="17" t="s">
        <v>618</v>
      </c>
      <c r="C304" s="17" t="s">
        <v>619</v>
      </c>
      <c r="F304" s="20">
        <v>837.75</v>
      </c>
      <c r="H304" s="20">
        <v>272.27</v>
      </c>
      <c r="J304" s="20">
        <v>0</v>
      </c>
      <c r="L304" s="20">
        <v>0</v>
      </c>
    </row>
    <row r="305" spans="2:12" ht="12.75">
      <c r="B305" s="17" t="s">
        <v>620</v>
      </c>
      <c r="C305" s="17" t="s">
        <v>621</v>
      </c>
      <c r="E305" s="17" t="s">
        <v>495</v>
      </c>
      <c r="F305" s="20">
        <f>760.53+3.8*1</f>
        <v>764.3299999999999</v>
      </c>
      <c r="H305" s="20">
        <f>332.73/760.53*764.33</f>
        <v>334.3924906315333</v>
      </c>
      <c r="J305" s="20">
        <v>0</v>
      </c>
      <c r="L305" s="20">
        <v>0</v>
      </c>
    </row>
    <row r="306" spans="2:12" ht="12.75">
      <c r="B306" s="17" t="s">
        <v>622</v>
      </c>
      <c r="C306" s="17" t="s">
        <v>623</v>
      </c>
      <c r="F306" s="20">
        <f>1391.97+18.89</f>
        <v>1410.8600000000001</v>
      </c>
      <c r="H306" s="20">
        <f>598.41/1391.97*1410.86</f>
        <v>606.5308394577469</v>
      </c>
      <c r="J306" s="20">
        <v>1581.33</v>
      </c>
      <c r="L306" s="20">
        <v>679.66</v>
      </c>
    </row>
    <row r="307" spans="2:12" ht="12.75">
      <c r="B307" s="17" t="s">
        <v>624</v>
      </c>
      <c r="C307" s="17" t="s">
        <v>625</v>
      </c>
      <c r="E307" s="20"/>
      <c r="F307" s="20">
        <f>11569.45+101.62</f>
        <v>11671.070000000002</v>
      </c>
      <c r="H307" s="20">
        <f>6363.2/11569.45*11671.07</f>
        <v>6419.091021958692</v>
      </c>
      <c r="J307" s="20">
        <v>0</v>
      </c>
      <c r="L307" s="20">
        <v>0</v>
      </c>
    </row>
    <row r="308" spans="2:12" ht="12.75">
      <c r="B308" s="17" t="s">
        <v>626</v>
      </c>
      <c r="C308" s="17" t="s">
        <v>627</v>
      </c>
      <c r="F308" s="20">
        <v>4.4</v>
      </c>
      <c r="H308" s="20">
        <f>1*F308</f>
        <v>4.4</v>
      </c>
      <c r="J308" s="20">
        <v>0</v>
      </c>
      <c r="L308" s="20">
        <v>0</v>
      </c>
    </row>
    <row r="309" spans="2:12" ht="12.75">
      <c r="B309" s="18" t="s">
        <v>419</v>
      </c>
      <c r="C309" s="18" t="s">
        <v>419</v>
      </c>
      <c r="D309" s="18" t="s">
        <v>419</v>
      </c>
      <c r="E309" s="18" t="s">
        <v>419</v>
      </c>
      <c r="F309" s="18" t="s">
        <v>419</v>
      </c>
      <c r="G309" s="18" t="s">
        <v>419</v>
      </c>
      <c r="H309" s="18" t="s">
        <v>419</v>
      </c>
      <c r="I309" s="18" t="s">
        <v>419</v>
      </c>
      <c r="J309" s="18" t="s">
        <v>419</v>
      </c>
      <c r="K309" s="18" t="s">
        <v>419</v>
      </c>
      <c r="L309" s="18" t="s">
        <v>419</v>
      </c>
    </row>
    <row r="310" spans="2:12" ht="12.75">
      <c r="B310" s="17" t="s">
        <v>23</v>
      </c>
      <c r="F310" s="20"/>
      <c r="H310" s="20">
        <f>SUM(H291:H308)</f>
        <v>8147.774868335502</v>
      </c>
      <c r="L310" s="20">
        <f>SUM(L294:L308)</f>
        <v>758.63</v>
      </c>
    </row>
    <row r="311" spans="2:12" ht="12.75">
      <c r="B311" s="18" t="s">
        <v>419</v>
      </c>
      <c r="C311" s="18" t="s">
        <v>419</v>
      </c>
      <c r="D311" s="18" t="s">
        <v>419</v>
      </c>
      <c r="E311" s="18" t="s">
        <v>419</v>
      </c>
      <c r="F311" s="18" t="s">
        <v>419</v>
      </c>
      <c r="G311" s="18" t="s">
        <v>419</v>
      </c>
      <c r="H311" s="18" t="s">
        <v>419</v>
      </c>
      <c r="I311" s="18" t="s">
        <v>419</v>
      </c>
      <c r="J311" s="18" t="s">
        <v>419</v>
      </c>
      <c r="K311" s="18" t="s">
        <v>419</v>
      </c>
      <c r="L311" s="18" t="s">
        <v>419</v>
      </c>
    </row>
    <row r="313" ht="12.75">
      <c r="B313" s="17" t="s">
        <v>628</v>
      </c>
    </row>
    <row r="314" spans="2:10" ht="12.75">
      <c r="B314" s="18" t="s">
        <v>419</v>
      </c>
      <c r="C314" s="18" t="s">
        <v>419</v>
      </c>
      <c r="D314" s="18" t="s">
        <v>419</v>
      </c>
      <c r="E314" s="18" t="s">
        <v>419</v>
      </c>
      <c r="F314" s="18" t="s">
        <v>419</v>
      </c>
      <c r="G314" s="18" t="s">
        <v>419</v>
      </c>
      <c r="H314" s="18" t="s">
        <v>419</v>
      </c>
      <c r="I314" s="18" t="s">
        <v>419</v>
      </c>
      <c r="J314" s="18" t="s">
        <v>419</v>
      </c>
    </row>
    <row r="315" spans="3:8" ht="12.75">
      <c r="C315" s="17" t="s">
        <v>590</v>
      </c>
      <c r="D315" s="17" t="s">
        <v>516</v>
      </c>
      <c r="E315" s="17" t="s">
        <v>629</v>
      </c>
      <c r="H315" s="17" t="s">
        <v>630</v>
      </c>
    </row>
    <row r="316" spans="2:10" ht="12.75">
      <c r="B316" s="17" t="s">
        <v>135</v>
      </c>
      <c r="C316" s="17" t="s">
        <v>592</v>
      </c>
      <c r="E316" s="17" t="s">
        <v>593</v>
      </c>
      <c r="F316" s="17" t="s">
        <v>438</v>
      </c>
      <c r="G316" s="17" t="s">
        <v>426</v>
      </c>
      <c r="H316" s="17" t="s">
        <v>593</v>
      </c>
      <c r="I316" s="17" t="s">
        <v>438</v>
      </c>
      <c r="J316" s="17" t="s">
        <v>426</v>
      </c>
    </row>
    <row r="317" spans="2:10" ht="12.75">
      <c r="B317" s="18" t="s">
        <v>419</v>
      </c>
      <c r="C317" s="18" t="s">
        <v>419</v>
      </c>
      <c r="D317" s="18" t="s">
        <v>419</v>
      </c>
      <c r="E317" s="18" t="s">
        <v>419</v>
      </c>
      <c r="F317" s="18" t="s">
        <v>419</v>
      </c>
      <c r="G317" s="18" t="s">
        <v>419</v>
      </c>
      <c r="H317" s="18" t="s">
        <v>419</v>
      </c>
      <c r="I317" s="18" t="s">
        <v>419</v>
      </c>
      <c r="J317" s="18" t="s">
        <v>419</v>
      </c>
    </row>
    <row r="318" spans="2:10" ht="12.75">
      <c r="B318" s="20">
        <v>30</v>
      </c>
      <c r="C318" s="20" t="str">
        <f>H100</f>
        <v>At 12 %</v>
      </c>
      <c r="D318" s="22">
        <f>ROUND((1/((1+$E$100)^B318)),4)</f>
        <v>0.0334</v>
      </c>
      <c r="E318" s="20">
        <f>$H$310</f>
        <v>8147.774868335502</v>
      </c>
      <c r="G318" s="20">
        <f>$L$310</f>
        <v>758.63</v>
      </c>
      <c r="H318" s="20">
        <f>D318*E318</f>
        <v>272.1356806024058</v>
      </c>
      <c r="J318" s="20">
        <f>D318*G318</f>
        <v>25.338241999999997</v>
      </c>
    </row>
    <row r="319" spans="2:10" ht="12.75">
      <c r="B319" s="20">
        <v>30</v>
      </c>
      <c r="C319" s="20" t="str">
        <f>H102</f>
        <v>At 13 %</v>
      </c>
      <c r="D319" s="22">
        <f>ROUND((1/((1+$E$102)^B319)),4)</f>
        <v>0.0256</v>
      </c>
      <c r="E319" s="20">
        <f>$H$310</f>
        <v>8147.774868335502</v>
      </c>
      <c r="G319" s="20">
        <f>$L$310</f>
        <v>758.63</v>
      </c>
      <c r="H319" s="20">
        <f>D319*E319</f>
        <v>208.58303662938886</v>
      </c>
      <c r="J319" s="20">
        <f>D319*G319</f>
        <v>19.420928</v>
      </c>
    </row>
    <row r="320" spans="2:10" ht="12.75">
      <c r="B320" s="18" t="s">
        <v>419</v>
      </c>
      <c r="C320" s="18" t="s">
        <v>419</v>
      </c>
      <c r="D320" s="18" t="s">
        <v>419</v>
      </c>
      <c r="E320" s="18" t="s">
        <v>419</v>
      </c>
      <c r="F320" s="18" t="s">
        <v>419</v>
      </c>
      <c r="G320" s="18" t="s">
        <v>419</v>
      </c>
      <c r="H320" s="18" t="s">
        <v>419</v>
      </c>
      <c r="I320" s="18" t="s">
        <v>419</v>
      </c>
      <c r="J320" s="18" t="s">
        <v>419</v>
      </c>
    </row>
    <row r="322" ht="12.75">
      <c r="B322" s="17" t="s">
        <v>631</v>
      </c>
    </row>
    <row r="323" spans="2:7" ht="12.75">
      <c r="B323" s="18" t="s">
        <v>632</v>
      </c>
      <c r="C323" s="18" t="s">
        <v>632</v>
      </c>
      <c r="D323" s="18" t="s">
        <v>632</v>
      </c>
      <c r="E323" s="18" t="s">
        <v>632</v>
      </c>
      <c r="F323" s="18" t="s">
        <v>632</v>
      </c>
      <c r="G323" s="18" t="s">
        <v>632</v>
      </c>
    </row>
    <row r="324" spans="2:8" ht="12.75">
      <c r="B324" s="17" t="s">
        <v>633</v>
      </c>
      <c r="E324" s="17" t="s">
        <v>634</v>
      </c>
      <c r="H324" s="20">
        <v>65.32</v>
      </c>
    </row>
    <row r="326" ht="12.75">
      <c r="B326" s="17" t="s">
        <v>559</v>
      </c>
    </row>
    <row r="327" spans="2:6" ht="12.75">
      <c r="B327" s="18" t="s">
        <v>419</v>
      </c>
      <c r="C327" s="18" t="s">
        <v>560</v>
      </c>
      <c r="D327" s="18" t="s">
        <v>419</v>
      </c>
      <c r="E327" s="18" t="s">
        <v>419</v>
      </c>
      <c r="F327" s="18" t="s">
        <v>419</v>
      </c>
    </row>
    <row r="328" spans="2:8" ht="12.75">
      <c r="B328" s="20" t="str">
        <f>H100</f>
        <v>At 12 %</v>
      </c>
      <c r="C328" s="17" t="s">
        <v>494</v>
      </c>
      <c r="F328" s="20">
        <v>30</v>
      </c>
      <c r="G328" s="22">
        <f>ROUND((((1+$E$100)^(F328))-1)/(($E$100)*((1+$E$100)^F328)),4)</f>
        <v>8.0552</v>
      </c>
      <c r="H328" s="20">
        <f>$G$328*$H$324</f>
        <v>526.1656639999999</v>
      </c>
    </row>
    <row r="329" ht="12.75">
      <c r="B329" s="17" t="s">
        <v>438</v>
      </c>
    </row>
    <row r="330" spans="2:8" ht="12.75">
      <c r="B330" s="20" t="str">
        <f>H102</f>
        <v>At 13 %</v>
      </c>
      <c r="C330" s="17" t="s">
        <v>494</v>
      </c>
      <c r="F330" s="20">
        <v>30</v>
      </c>
      <c r="G330" s="22">
        <f>ROUND((((1+$E$102)^(F330))-1)/(($E$102)*((1+$E$102)^F330)),4)</f>
        <v>7.4957</v>
      </c>
      <c r="H330" s="20">
        <f>$G$330*$H$324</f>
        <v>489.61912399999994</v>
      </c>
    </row>
    <row r="332" ht="12.75">
      <c r="A332" s="17" t="s">
        <v>467</v>
      </c>
    </row>
    <row r="334" ht="12.75">
      <c r="D334" s="17"/>
    </row>
    <row r="335" ht="12.75">
      <c r="B335" s="17" t="s">
        <v>635</v>
      </c>
    </row>
    <row r="336" spans="2:11" ht="12.75">
      <c r="B336" s="18" t="s">
        <v>419</v>
      </c>
      <c r="C336" s="18" t="s">
        <v>419</v>
      </c>
      <c r="D336" s="18" t="s">
        <v>419</v>
      </c>
      <c r="E336" s="18" t="s">
        <v>419</v>
      </c>
      <c r="F336" s="18" t="s">
        <v>419</v>
      </c>
      <c r="G336" s="18" t="s">
        <v>419</v>
      </c>
      <c r="H336" s="18" t="s">
        <v>419</v>
      </c>
      <c r="I336" s="18" t="s">
        <v>419</v>
      </c>
      <c r="J336" s="18" t="s">
        <v>419</v>
      </c>
      <c r="K336" s="18" t="s">
        <v>419</v>
      </c>
    </row>
    <row r="337" ht="12.75">
      <c r="E337" s="17" t="s">
        <v>636</v>
      </c>
    </row>
    <row r="338" spans="5:8" ht="12.75">
      <c r="E338" s="18" t="s">
        <v>419</v>
      </c>
      <c r="F338" s="18" t="s">
        <v>419</v>
      </c>
      <c r="G338" s="18" t="s">
        <v>419</v>
      </c>
      <c r="H338" s="18" t="s">
        <v>419</v>
      </c>
    </row>
    <row r="339" spans="2:16" ht="12.75">
      <c r="B339" s="18" t="s">
        <v>419</v>
      </c>
      <c r="C339" s="18" t="s">
        <v>419</v>
      </c>
      <c r="D339" s="18" t="s">
        <v>419</v>
      </c>
      <c r="E339" s="18" t="s">
        <v>419</v>
      </c>
      <c r="F339" s="18" t="s">
        <v>419</v>
      </c>
      <c r="G339" s="18" t="s">
        <v>419</v>
      </c>
      <c r="H339" s="18" t="s">
        <v>419</v>
      </c>
      <c r="I339" s="18" t="s">
        <v>419</v>
      </c>
      <c r="J339" s="18" t="s">
        <v>419</v>
      </c>
      <c r="K339" s="18" t="s">
        <v>419</v>
      </c>
      <c r="L339" s="18" t="s">
        <v>419</v>
      </c>
      <c r="M339" s="18" t="s">
        <v>419</v>
      </c>
      <c r="N339" s="18" t="s">
        <v>419</v>
      </c>
      <c r="O339" s="18" t="s">
        <v>419</v>
      </c>
      <c r="P339" s="18" t="s">
        <v>419</v>
      </c>
    </row>
    <row r="340" spans="2:10" ht="12.75">
      <c r="B340" s="17" t="s">
        <v>637</v>
      </c>
      <c r="C340" s="17" t="s">
        <v>638</v>
      </c>
      <c r="F340" s="17" t="s">
        <v>427</v>
      </c>
      <c r="J340" s="17" t="s">
        <v>639</v>
      </c>
    </row>
    <row r="341" spans="6:12" ht="12.75">
      <c r="F341" s="17" t="s">
        <v>640</v>
      </c>
      <c r="J341" s="18" t="s">
        <v>419</v>
      </c>
      <c r="K341" s="18" t="s">
        <v>419</v>
      </c>
      <c r="L341" s="18" t="s">
        <v>419</v>
      </c>
    </row>
    <row r="342" spans="6:14" ht="12.75">
      <c r="F342" s="17" t="s">
        <v>641</v>
      </c>
      <c r="H342" s="20" t="str">
        <f>H100</f>
        <v>At 12 %</v>
      </c>
      <c r="I342" s="17" t="s">
        <v>494</v>
      </c>
      <c r="M342" s="20" t="str">
        <f>H102</f>
        <v>At 13 %</v>
      </c>
      <c r="N342" s="17" t="s">
        <v>494</v>
      </c>
    </row>
    <row r="343" spans="8:15" ht="12.75">
      <c r="H343" s="21" t="s">
        <v>500</v>
      </c>
      <c r="J343" s="21" t="s">
        <v>426</v>
      </c>
      <c r="K343" s="17" t="s">
        <v>438</v>
      </c>
      <c r="L343" s="17" t="s">
        <v>438</v>
      </c>
      <c r="M343" s="17" t="s">
        <v>500</v>
      </c>
      <c r="O343" s="21" t="s">
        <v>426</v>
      </c>
    </row>
    <row r="344" spans="2:16" ht="12.75">
      <c r="B344" s="18" t="s">
        <v>419</v>
      </c>
      <c r="C344" s="18" t="s">
        <v>419</v>
      </c>
      <c r="D344" s="18" t="s">
        <v>419</v>
      </c>
      <c r="E344" s="18" t="s">
        <v>419</v>
      </c>
      <c r="F344" s="18" t="s">
        <v>419</v>
      </c>
      <c r="G344" s="18" t="s">
        <v>419</v>
      </c>
      <c r="H344" s="18" t="s">
        <v>419</v>
      </c>
      <c r="I344" s="18" t="s">
        <v>419</v>
      </c>
      <c r="J344" s="18" t="s">
        <v>419</v>
      </c>
      <c r="K344" s="18" t="s">
        <v>419</v>
      </c>
      <c r="L344" s="18" t="s">
        <v>419</v>
      </c>
      <c r="M344" s="18" t="s">
        <v>419</v>
      </c>
      <c r="N344" s="18" t="s">
        <v>419</v>
      </c>
      <c r="O344" s="18" t="s">
        <v>419</v>
      </c>
      <c r="P344" s="18" t="s">
        <v>419</v>
      </c>
    </row>
    <row r="345" spans="2:15" ht="12.75">
      <c r="B345" s="17" t="s">
        <v>602</v>
      </c>
      <c r="C345" s="17" t="s">
        <v>642</v>
      </c>
      <c r="F345" s="17" t="s">
        <v>643</v>
      </c>
      <c r="H345" s="20">
        <f>I125</f>
        <v>21109.339232000002</v>
      </c>
      <c r="J345" s="20">
        <f>J125</f>
        <v>2370.8230000000003</v>
      </c>
      <c r="M345" s="20">
        <f>M125</f>
        <v>21285.125807999997</v>
      </c>
      <c r="O345" s="20">
        <f>N125</f>
        <v>2410.7329999999997</v>
      </c>
    </row>
    <row r="347" spans="2:15" ht="12.75">
      <c r="B347" s="17" t="s">
        <v>606</v>
      </c>
      <c r="C347" s="17" t="s">
        <v>644</v>
      </c>
      <c r="F347" s="17" t="s">
        <v>645</v>
      </c>
      <c r="H347" s="20">
        <f>H147+H161</f>
        <v>10470.743999999999</v>
      </c>
      <c r="J347" s="20">
        <f>I147+I161</f>
        <v>15882.462399999999</v>
      </c>
      <c r="M347" s="20">
        <f>L147+L161</f>
        <v>10413.269999999999</v>
      </c>
      <c r="O347" s="20">
        <f>M147+M161</f>
        <v>15737.7565</v>
      </c>
    </row>
    <row r="349" spans="2:3" ht="12.75">
      <c r="B349" s="17" t="s">
        <v>609</v>
      </c>
      <c r="C349" s="17" t="s">
        <v>646</v>
      </c>
    </row>
    <row r="350" spans="3:15" ht="12.75">
      <c r="C350" s="17" t="s">
        <v>647</v>
      </c>
      <c r="F350" s="17" t="s">
        <v>648</v>
      </c>
      <c r="H350" s="20">
        <f>R186</f>
        <v>21264.046096076276</v>
      </c>
      <c r="J350" s="20">
        <f>S186</f>
        <v>28861.721783179994</v>
      </c>
      <c r="M350" s="20">
        <f>W186</f>
        <v>19858.49095021344</v>
      </c>
      <c r="O350" s="20">
        <f>X186</f>
        <v>26954.293714205</v>
      </c>
    </row>
    <row r="352" spans="3:15" ht="12.75">
      <c r="C352" s="17" t="s">
        <v>649</v>
      </c>
      <c r="F352" s="17" t="s">
        <v>650</v>
      </c>
      <c r="H352" s="20">
        <f>Q209</f>
        <v>290.34124759199995</v>
      </c>
      <c r="J352" s="20">
        <f>R209</f>
        <v>2361.0468887279994</v>
      </c>
      <c r="M352" s="20">
        <f>V209</f>
        <v>271.250114256</v>
      </c>
      <c r="O352" s="20">
        <f>W209</f>
        <v>2205.781218135</v>
      </c>
    </row>
    <row r="354" spans="2:3" ht="12.75">
      <c r="B354" s="17" t="s">
        <v>612</v>
      </c>
      <c r="C354" s="17" t="s">
        <v>651</v>
      </c>
    </row>
    <row r="355" spans="3:15" ht="12.75">
      <c r="C355" s="17" t="s">
        <v>652</v>
      </c>
      <c r="F355" s="17" t="s">
        <v>653</v>
      </c>
      <c r="H355" s="20">
        <f>K232</f>
        <v>11243.73257568</v>
      </c>
      <c r="J355" s="20">
        <f>L232</f>
        <v>15764.68445496</v>
      </c>
      <c r="M355" s="20">
        <f>P232</f>
        <v>10500.77237715</v>
      </c>
      <c r="O355" s="20">
        <f>Q232</f>
        <v>14722.996372640002</v>
      </c>
    </row>
    <row r="357" spans="3:15" ht="12.75">
      <c r="C357" s="17" t="s">
        <v>654</v>
      </c>
      <c r="F357" s="17" t="s">
        <v>655</v>
      </c>
      <c r="H357" s="20">
        <f>H246</f>
        <v>707.2207833599997</v>
      </c>
      <c r="J357" s="20">
        <v>0</v>
      </c>
      <c r="M357" s="20">
        <f>H248</f>
        <v>658.0984737599998</v>
      </c>
      <c r="O357" s="20">
        <v>0</v>
      </c>
    </row>
    <row r="359" spans="2:3" ht="12.75">
      <c r="B359" s="17" t="s">
        <v>615</v>
      </c>
      <c r="C359" s="17" t="s">
        <v>656</v>
      </c>
    </row>
    <row r="360" spans="3:15" ht="12.75">
      <c r="C360" s="17" t="s">
        <v>652</v>
      </c>
      <c r="F360" s="17" t="s">
        <v>657</v>
      </c>
      <c r="H360" s="20">
        <f>-H280</f>
        <v>-98.76857142857143</v>
      </c>
      <c r="J360" s="20">
        <f>-J280</f>
        <v>-179.86484499999997</v>
      </c>
      <c r="M360" s="20">
        <f>-H281</f>
        <v>-75.70285714285716</v>
      </c>
      <c r="O360" s="20">
        <f>-J281</f>
        <v>-137.86048</v>
      </c>
    </row>
    <row r="362" spans="3:15" ht="12.75">
      <c r="C362" s="17" t="s">
        <v>654</v>
      </c>
      <c r="F362" s="17" t="s">
        <v>658</v>
      </c>
      <c r="H362" s="20">
        <f>-H318</f>
        <v>-272.1356806024058</v>
      </c>
      <c r="J362" s="20">
        <f>-J318</f>
        <v>-25.338241999999997</v>
      </c>
      <c r="M362" s="20">
        <f>-H319</f>
        <v>-208.58303662938886</v>
      </c>
      <c r="O362" s="20">
        <f>-J319</f>
        <v>-19.420928</v>
      </c>
    </row>
    <row r="363" spans="2:3" ht="12.75">
      <c r="B363" s="17" t="s">
        <v>618</v>
      </c>
      <c r="C363" s="17" t="s">
        <v>659</v>
      </c>
    </row>
    <row r="364" spans="3:13" ht="12.75">
      <c r="C364" s="17" t="s">
        <v>660</v>
      </c>
      <c r="H364" s="20">
        <f>-H328</f>
        <v>-526.1656639999999</v>
      </c>
      <c r="M364" s="20">
        <f>-H330</f>
        <v>-489.61912399999994</v>
      </c>
    </row>
    <row r="365" spans="2:16" ht="12.75">
      <c r="B365" s="18" t="s">
        <v>419</v>
      </c>
      <c r="C365" s="18" t="s">
        <v>419</v>
      </c>
      <c r="D365" s="18" t="s">
        <v>419</v>
      </c>
      <c r="E365" s="18" t="s">
        <v>419</v>
      </c>
      <c r="F365" s="18" t="s">
        <v>419</v>
      </c>
      <c r="G365" s="18" t="s">
        <v>419</v>
      </c>
      <c r="H365" s="18" t="s">
        <v>419</v>
      </c>
      <c r="I365" s="18" t="s">
        <v>419</v>
      </c>
      <c r="J365" s="18" t="s">
        <v>419</v>
      </c>
      <c r="K365" s="18" t="s">
        <v>419</v>
      </c>
      <c r="L365" s="18" t="s">
        <v>419</v>
      </c>
      <c r="M365" s="18" t="s">
        <v>419</v>
      </c>
      <c r="N365" s="18" t="s">
        <v>419</v>
      </c>
      <c r="O365" s="18" t="s">
        <v>419</v>
      </c>
      <c r="P365" s="18" t="s">
        <v>419</v>
      </c>
    </row>
    <row r="366" spans="3:15" ht="12.75">
      <c r="C366" s="17" t="s">
        <v>23</v>
      </c>
      <c r="H366" s="20">
        <f>SUM(H345:H364)</f>
        <v>64188.354018677295</v>
      </c>
      <c r="J366" s="20">
        <f>SUM(J345:J362)</f>
        <v>65035.535439868</v>
      </c>
      <c r="M366" s="20">
        <f>SUM(M345:M364)</f>
        <v>62213.10270560719</v>
      </c>
      <c r="N366" s="17" t="s">
        <v>438</v>
      </c>
      <c r="O366" s="20">
        <f>SUM(O345:O362)</f>
        <v>61874.279396980004</v>
      </c>
    </row>
    <row r="367" spans="2:16" ht="12.75">
      <c r="B367" s="18" t="s">
        <v>419</v>
      </c>
      <c r="C367" s="18" t="s">
        <v>419</v>
      </c>
      <c r="D367" s="18" t="s">
        <v>419</v>
      </c>
      <c r="E367" s="18" t="s">
        <v>419</v>
      </c>
      <c r="F367" s="18" t="s">
        <v>419</v>
      </c>
      <c r="G367" s="18" t="s">
        <v>419</v>
      </c>
      <c r="H367" s="18" t="s">
        <v>419</v>
      </c>
      <c r="I367" s="18" t="s">
        <v>419</v>
      </c>
      <c r="J367" s="18" t="s">
        <v>419</v>
      </c>
      <c r="K367" s="18" t="s">
        <v>419</v>
      </c>
      <c r="L367" s="18" t="s">
        <v>419</v>
      </c>
      <c r="M367" s="18" t="s">
        <v>419</v>
      </c>
      <c r="N367" s="18" t="s">
        <v>419</v>
      </c>
      <c r="O367" s="18" t="s">
        <v>419</v>
      </c>
      <c r="P367" s="18" t="s">
        <v>419</v>
      </c>
    </row>
    <row r="370" spans="4:7" ht="12.75">
      <c r="D370" s="17" t="s">
        <v>661</v>
      </c>
      <c r="G370" s="20">
        <f>(E100*100)+((((E102*100)-(E100*100))*(J366-H366))/((J366-H366)+(M366-O366)))</f>
        <v>12.714315381626502</v>
      </c>
    </row>
    <row r="371" spans="4:7" ht="12.75">
      <c r="D371" s="18" t="s">
        <v>419</v>
      </c>
      <c r="E371" s="18" t="s">
        <v>419</v>
      </c>
      <c r="F371" s="18" t="s">
        <v>419</v>
      </c>
      <c r="G371" s="18" t="s">
        <v>419</v>
      </c>
    </row>
    <row r="372" ht="12.75">
      <c r="A372" s="17"/>
    </row>
    <row r="375" spans="5:7" ht="12.75">
      <c r="E375" s="25" t="s">
        <v>662</v>
      </c>
      <c r="G375">
        <v>12.28</v>
      </c>
    </row>
    <row r="397" spans="1:15" ht="12.75">
      <c r="A397" s="6"/>
      <c r="K397" s="6"/>
      <c r="L397" s="6"/>
      <c r="M397" s="6"/>
      <c r="N397" s="6"/>
      <c r="O397" s="6"/>
    </row>
    <row r="398" spans="1:15" ht="12.75">
      <c r="A398" s="6"/>
      <c r="B398" s="8"/>
      <c r="C398" s="12"/>
      <c r="D398" s="12"/>
      <c r="E398" s="12"/>
      <c r="F398" s="12"/>
      <c r="G398" s="12"/>
      <c r="H398" s="15"/>
      <c r="I398" s="12"/>
      <c r="J398" s="12"/>
      <c r="K398" s="6"/>
      <c r="L398" s="15"/>
      <c r="M398" s="12"/>
      <c r="N398" s="12"/>
      <c r="O398" s="6"/>
    </row>
    <row r="421" spans="2:13" ht="12.75">
      <c r="B421" s="20"/>
      <c r="C421" s="20"/>
      <c r="D421" s="20"/>
      <c r="E421" s="20"/>
      <c r="F421" s="20"/>
      <c r="G421" s="22"/>
      <c r="H421" s="20"/>
      <c r="I421" s="20"/>
      <c r="K421" s="22"/>
      <c r="L421" s="20"/>
      <c r="M421" s="20"/>
    </row>
    <row r="422" spans="1:15" ht="12.75">
      <c r="A422" s="6"/>
      <c r="B422" s="8"/>
      <c r="C422" s="6"/>
      <c r="D422" s="6"/>
      <c r="E422" s="6"/>
      <c r="F422" s="8"/>
      <c r="G422" s="14"/>
      <c r="H422" s="15"/>
      <c r="I422" s="8"/>
      <c r="J422" s="6"/>
      <c r="K422" s="6"/>
      <c r="L422" s="6"/>
      <c r="M422" s="6"/>
      <c r="N422" s="6"/>
      <c r="O422" s="6"/>
    </row>
    <row r="423" spans="1:15" ht="12.75">
      <c r="A423" s="6"/>
      <c r="B423" s="6"/>
      <c r="C423" s="6"/>
      <c r="D423" s="6"/>
      <c r="E423" s="6"/>
      <c r="F423" s="8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2.75">
      <c r="A424" s="6"/>
      <c r="B424" s="8"/>
      <c r="C424" s="6"/>
      <c r="D424" s="6"/>
      <c r="E424" s="6"/>
      <c r="F424" s="8"/>
      <c r="G424" s="15"/>
      <c r="H424" s="15"/>
      <c r="I424" s="8"/>
      <c r="J424" s="6"/>
      <c r="K424" s="6"/>
      <c r="L424" s="6"/>
      <c r="M424" s="6"/>
      <c r="N424" s="6"/>
      <c r="O424" s="6"/>
    </row>
    <row r="425" spans="2:8" ht="12.75">
      <c r="B425" s="17" t="s">
        <v>663</v>
      </c>
      <c r="H425" s="17" t="s">
        <v>664</v>
      </c>
    </row>
    <row r="426" spans="2:17" ht="12.75">
      <c r="B426" s="18" t="s">
        <v>419</v>
      </c>
      <c r="C426" s="18" t="s">
        <v>419</v>
      </c>
      <c r="D426" s="18" t="s">
        <v>419</v>
      </c>
      <c r="E426" s="18" t="s">
        <v>419</v>
      </c>
      <c r="H426" s="18" t="s">
        <v>419</v>
      </c>
      <c r="Q426" s="17" t="s">
        <v>542</v>
      </c>
    </row>
    <row r="428" spans="2:18" ht="12.75">
      <c r="B428" s="18" t="s">
        <v>419</v>
      </c>
      <c r="C428" s="18" t="s">
        <v>419</v>
      </c>
      <c r="D428" s="18" t="s">
        <v>419</v>
      </c>
      <c r="E428" s="18" t="s">
        <v>419</v>
      </c>
      <c r="F428" s="18" t="s">
        <v>419</v>
      </c>
      <c r="G428" s="18" t="s">
        <v>419</v>
      </c>
      <c r="H428" s="18" t="s">
        <v>419</v>
      </c>
      <c r="I428" s="18" t="s">
        <v>419</v>
      </c>
      <c r="J428" s="18" t="s">
        <v>419</v>
      </c>
      <c r="K428" s="18" t="s">
        <v>419</v>
      </c>
      <c r="L428" s="18" t="s">
        <v>419</v>
      </c>
      <c r="M428" s="18" t="s">
        <v>419</v>
      </c>
      <c r="N428" s="18" t="s">
        <v>419</v>
      </c>
      <c r="O428" s="18" t="s">
        <v>419</v>
      </c>
      <c r="P428" s="18" t="s">
        <v>419</v>
      </c>
      <c r="Q428" s="18" t="s">
        <v>419</v>
      </c>
      <c r="R428" s="18" t="s">
        <v>419</v>
      </c>
    </row>
    <row r="429" spans="4:12" ht="12.75">
      <c r="D429" s="17" t="s">
        <v>665</v>
      </c>
      <c r="F429" s="17" t="s">
        <v>544</v>
      </c>
      <c r="L429" s="17" t="s">
        <v>545</v>
      </c>
    </row>
    <row r="430" spans="3:15" ht="12.75">
      <c r="C430" s="17" t="s">
        <v>438</v>
      </c>
      <c r="D430" s="17" t="s">
        <v>666</v>
      </c>
      <c r="E430" s="17" t="s">
        <v>438</v>
      </c>
      <c r="F430" s="17" t="s">
        <v>547</v>
      </c>
      <c r="L430" s="18" t="s">
        <v>419</v>
      </c>
      <c r="M430" s="18" t="s">
        <v>419</v>
      </c>
      <c r="N430" s="18" t="s">
        <v>419</v>
      </c>
      <c r="O430" s="18" t="s">
        <v>419</v>
      </c>
    </row>
    <row r="431" spans="2:16" ht="12.75">
      <c r="B431" s="17" t="s">
        <v>12</v>
      </c>
      <c r="C431" s="17" t="s">
        <v>12</v>
      </c>
      <c r="J431" s="20" t="str">
        <f>H100</f>
        <v>At 12 %</v>
      </c>
      <c r="K431" s="17" t="s">
        <v>494</v>
      </c>
      <c r="O431" s="20" t="str">
        <f>H102</f>
        <v>At 13 %</v>
      </c>
      <c r="P431" s="17" t="s">
        <v>494</v>
      </c>
    </row>
    <row r="432" spans="4:17" ht="12.75">
      <c r="D432" s="17" t="s">
        <v>496</v>
      </c>
      <c r="E432" s="17" t="s">
        <v>426</v>
      </c>
      <c r="F432" s="19" t="s">
        <v>667</v>
      </c>
      <c r="G432" s="19" t="s">
        <v>668</v>
      </c>
      <c r="H432" s="21" t="s">
        <v>516</v>
      </c>
      <c r="I432" s="21" t="s">
        <v>516</v>
      </c>
      <c r="J432" s="17" t="s">
        <v>532</v>
      </c>
      <c r="K432" s="21" t="s">
        <v>500</v>
      </c>
      <c r="L432" s="21" t="s">
        <v>426</v>
      </c>
      <c r="M432" s="21" t="s">
        <v>516</v>
      </c>
      <c r="N432" s="21" t="s">
        <v>516</v>
      </c>
      <c r="O432" s="17" t="s">
        <v>532</v>
      </c>
      <c r="P432" s="21" t="s">
        <v>500</v>
      </c>
      <c r="Q432" s="21" t="s">
        <v>426</v>
      </c>
    </row>
    <row r="433" spans="2:17" ht="12.75">
      <c r="B433" s="18" t="s">
        <v>419</v>
      </c>
      <c r="C433" s="18" t="s">
        <v>419</v>
      </c>
      <c r="D433" s="18" t="s">
        <v>419</v>
      </c>
      <c r="E433" s="18" t="s">
        <v>419</v>
      </c>
      <c r="F433" s="18" t="s">
        <v>419</v>
      </c>
      <c r="G433" s="18" t="s">
        <v>419</v>
      </c>
      <c r="H433" s="18" t="s">
        <v>419</v>
      </c>
      <c r="I433" s="18" t="s">
        <v>419</v>
      </c>
      <c r="J433" s="18" t="s">
        <v>419</v>
      </c>
      <c r="K433" s="18" t="s">
        <v>419</v>
      </c>
      <c r="L433" s="18" t="s">
        <v>419</v>
      </c>
      <c r="M433" s="18" t="s">
        <v>419</v>
      </c>
      <c r="N433" s="18" t="s">
        <v>419</v>
      </c>
      <c r="O433" s="18" t="s">
        <v>419</v>
      </c>
      <c r="P433" s="18" t="s">
        <v>419</v>
      </c>
      <c r="Q433" s="18" t="s">
        <v>419</v>
      </c>
    </row>
    <row r="434" spans="2:17" ht="12.75">
      <c r="B434" s="20">
        <v>0</v>
      </c>
      <c r="C434" s="20">
        <v>0</v>
      </c>
      <c r="D434" s="20">
        <v>49</v>
      </c>
      <c r="E434" s="20">
        <v>74</v>
      </c>
      <c r="F434" s="20">
        <f>($D$434*G30)</f>
        <v>436.59000000000003</v>
      </c>
      <c r="G434" s="20">
        <f>($E$434*H30)</f>
        <v>924.26</v>
      </c>
      <c r="H434" s="22">
        <f>ROUND((1/((1+$E$100)^B434)),4)</f>
        <v>1</v>
      </c>
      <c r="I434" s="22">
        <f>ROUND((((1+$E$100)^(C434))-1)/(($E$100)*((1+$E$100)^C434)),4)</f>
        <v>0</v>
      </c>
      <c r="J434" s="22">
        <f>H434-I434</f>
        <v>1</v>
      </c>
      <c r="K434" s="20">
        <f aca="true" t="shared" si="72" ref="K434:K442">(F434*J434)</f>
        <v>436.59000000000003</v>
      </c>
      <c r="L434" s="20">
        <f aca="true" t="shared" si="73" ref="L434:L442">(G434*J434)</f>
        <v>924.26</v>
      </c>
      <c r="M434" s="22">
        <f>ROUND((1/((1+$E$102)^C434)),4)</f>
        <v>1</v>
      </c>
      <c r="N434" s="22">
        <f>ROUND((((1+$E$102)^(C434))-1)/(($E$102)*((1+$E$102)^C434)),4)</f>
        <v>0</v>
      </c>
      <c r="O434" s="22">
        <f>M434-N434</f>
        <v>1</v>
      </c>
      <c r="P434" s="20">
        <f aca="true" t="shared" si="74" ref="P434:P442">(F434*O434)</f>
        <v>436.59000000000003</v>
      </c>
      <c r="Q434" s="20">
        <f aca="true" t="shared" si="75" ref="Q434:Q442">(G434*O434)</f>
        <v>924.26</v>
      </c>
    </row>
    <row r="435" spans="2:17" ht="12.75">
      <c r="B435" s="20">
        <v>0</v>
      </c>
      <c r="C435" s="20">
        <v>1</v>
      </c>
      <c r="D435" s="20">
        <v>51</v>
      </c>
      <c r="E435" s="20">
        <v>76</v>
      </c>
      <c r="F435" s="20">
        <f>($D$435*G30)</f>
        <v>454.41</v>
      </c>
      <c r="G435" s="20">
        <f>($E$435*H30)</f>
        <v>949.24</v>
      </c>
      <c r="H435" s="22">
        <f aca="true" t="shared" si="76" ref="H435:H442">+ROUND((((1+$E$100)^(C435))-1)/(($E$100)*((1+$E$100)^C435)),4)</f>
        <v>0.8929</v>
      </c>
      <c r="I435" s="22">
        <f aca="true" t="shared" si="77" ref="I435:I442">ROUND((((1+$E$100)^(B435))-1)/(($E$100)*((1+$E$100)^B435)),4)</f>
        <v>0</v>
      </c>
      <c r="J435" s="22">
        <f>H435-I435</f>
        <v>0.8929</v>
      </c>
      <c r="K435" s="20">
        <f t="shared" si="72"/>
        <v>405.74268900000004</v>
      </c>
      <c r="L435" s="20">
        <f t="shared" si="73"/>
        <v>847.576396</v>
      </c>
      <c r="M435" s="22">
        <f aca="true" t="shared" si="78" ref="M435:M442">ROUND((((1+$E$102)^(C435))-1)/(($E$102)*((1+$E$102)^C435)),4)</f>
        <v>0.885</v>
      </c>
      <c r="N435" s="22">
        <f aca="true" t="shared" si="79" ref="N435:N442">ROUND((((1+$E$102)^(B435))-1)/(($E$102)*((1+$E$102)^B435)),4)</f>
        <v>0</v>
      </c>
      <c r="O435" s="22">
        <f>M435-N435</f>
        <v>0.885</v>
      </c>
      <c r="P435" s="20">
        <f t="shared" si="74"/>
        <v>402.15285</v>
      </c>
      <c r="Q435" s="20">
        <f t="shared" si="75"/>
        <v>840.0774</v>
      </c>
    </row>
    <row r="436" spans="2:17" ht="12.75">
      <c r="B436" s="20">
        <v>1</v>
      </c>
      <c r="C436" s="20">
        <v>2</v>
      </c>
      <c r="D436" s="20">
        <v>53</v>
      </c>
      <c r="E436" s="20">
        <v>78</v>
      </c>
      <c r="F436" s="20">
        <f>($D$436*G30)</f>
        <v>472.23</v>
      </c>
      <c r="G436" s="20">
        <f>($E$436*H30)</f>
        <v>974.22</v>
      </c>
      <c r="H436" s="22">
        <f t="shared" si="76"/>
        <v>1.6901</v>
      </c>
      <c r="I436" s="22">
        <f t="shared" si="77"/>
        <v>0.8929</v>
      </c>
      <c r="J436" s="22">
        <f aca="true" t="shared" si="80" ref="J436:J442">H436-I436</f>
        <v>0.7971999999999999</v>
      </c>
      <c r="K436" s="20">
        <f t="shared" si="72"/>
        <v>376.461756</v>
      </c>
      <c r="L436" s="20">
        <f t="shared" si="73"/>
        <v>776.6481839999999</v>
      </c>
      <c r="M436" s="22">
        <f t="shared" si="78"/>
        <v>1.6681</v>
      </c>
      <c r="N436" s="22">
        <f t="shared" si="79"/>
        <v>0.885</v>
      </c>
      <c r="O436" s="22">
        <f aca="true" t="shared" si="81" ref="O436:O442">M436-N436</f>
        <v>0.7830999999999999</v>
      </c>
      <c r="P436" s="20">
        <f t="shared" si="74"/>
        <v>369.80331299999995</v>
      </c>
      <c r="Q436" s="20">
        <f t="shared" si="75"/>
        <v>762.9116819999999</v>
      </c>
    </row>
    <row r="437" spans="2:17" ht="12.75">
      <c r="B437" s="20">
        <v>2</v>
      </c>
      <c r="C437" s="20">
        <v>3</v>
      </c>
      <c r="D437" s="20">
        <v>55</v>
      </c>
      <c r="E437" s="20">
        <v>81</v>
      </c>
      <c r="F437" s="20">
        <f>($D$437*G30)</f>
        <v>490.05</v>
      </c>
      <c r="G437" s="20">
        <f>($E$437*H30)</f>
        <v>1011.69</v>
      </c>
      <c r="H437" s="22">
        <f t="shared" si="76"/>
        <v>2.4018</v>
      </c>
      <c r="I437" s="22">
        <f t="shared" si="77"/>
        <v>1.6901</v>
      </c>
      <c r="J437" s="22">
        <f t="shared" si="80"/>
        <v>0.7117000000000002</v>
      </c>
      <c r="K437" s="20">
        <f t="shared" si="72"/>
        <v>348.76858500000014</v>
      </c>
      <c r="L437" s="20">
        <f t="shared" si="73"/>
        <v>720.0197730000002</v>
      </c>
      <c r="M437" s="22">
        <f t="shared" si="78"/>
        <v>2.3612</v>
      </c>
      <c r="N437" s="22">
        <f t="shared" si="79"/>
        <v>1.6681</v>
      </c>
      <c r="O437" s="22">
        <f t="shared" si="81"/>
        <v>0.6931000000000003</v>
      </c>
      <c r="P437" s="20">
        <f t="shared" si="74"/>
        <v>339.65365500000013</v>
      </c>
      <c r="Q437" s="20">
        <f t="shared" si="75"/>
        <v>701.2023390000003</v>
      </c>
    </row>
    <row r="438" spans="2:17" ht="12.75">
      <c r="B438" s="20">
        <v>3</v>
      </c>
      <c r="C438" s="20">
        <v>4</v>
      </c>
      <c r="D438" s="20">
        <v>55</v>
      </c>
      <c r="E438" s="20">
        <v>83</v>
      </c>
      <c r="F438" s="20">
        <f>($D$438*G30)</f>
        <v>490.05</v>
      </c>
      <c r="G438" s="20">
        <f>($E$438*H30)</f>
        <v>1036.67</v>
      </c>
      <c r="H438" s="22">
        <f t="shared" si="76"/>
        <v>3.0373</v>
      </c>
      <c r="I438" s="22">
        <f t="shared" si="77"/>
        <v>2.4018</v>
      </c>
      <c r="J438" s="22">
        <f t="shared" si="80"/>
        <v>0.6355</v>
      </c>
      <c r="K438" s="20">
        <f t="shared" si="72"/>
        <v>311.42677499999996</v>
      </c>
      <c r="L438" s="20">
        <f t="shared" si="73"/>
        <v>658.803785</v>
      </c>
      <c r="M438" s="22">
        <f t="shared" si="78"/>
        <v>2.9745</v>
      </c>
      <c r="N438" s="22">
        <f t="shared" si="79"/>
        <v>2.3612</v>
      </c>
      <c r="O438" s="22">
        <f t="shared" si="81"/>
        <v>0.6132999999999997</v>
      </c>
      <c r="P438" s="20">
        <f t="shared" si="74"/>
        <v>300.5476649999999</v>
      </c>
      <c r="Q438" s="20">
        <f t="shared" si="75"/>
        <v>635.7897109999998</v>
      </c>
    </row>
    <row r="439" spans="2:17" ht="12.75">
      <c r="B439" s="20">
        <v>4</v>
      </c>
      <c r="C439" s="20">
        <v>5</v>
      </c>
      <c r="D439" s="20">
        <v>57</v>
      </c>
      <c r="E439" s="20">
        <v>85</v>
      </c>
      <c r="F439" s="20">
        <f>($D$439*G30)</f>
        <v>507.87</v>
      </c>
      <c r="G439" s="20">
        <f>($E$439*H30)</f>
        <v>1061.65</v>
      </c>
      <c r="H439" s="22">
        <f t="shared" si="76"/>
        <v>3.6048</v>
      </c>
      <c r="I439" s="22">
        <f t="shared" si="77"/>
        <v>3.0373</v>
      </c>
      <c r="J439" s="22">
        <f t="shared" si="80"/>
        <v>0.5674999999999999</v>
      </c>
      <c r="K439" s="20">
        <f t="shared" si="72"/>
        <v>288.21622499999995</v>
      </c>
      <c r="L439" s="20">
        <f t="shared" si="73"/>
        <v>602.486375</v>
      </c>
      <c r="M439" s="22">
        <f t="shared" si="78"/>
        <v>3.5172</v>
      </c>
      <c r="N439" s="22">
        <f t="shared" si="79"/>
        <v>2.9745</v>
      </c>
      <c r="O439" s="22">
        <f t="shared" si="81"/>
        <v>0.5427</v>
      </c>
      <c r="P439" s="20">
        <f t="shared" si="74"/>
        <v>275.62104899999997</v>
      </c>
      <c r="Q439" s="20">
        <f t="shared" si="75"/>
        <v>576.157455</v>
      </c>
    </row>
    <row r="440" spans="2:17" ht="12.75">
      <c r="B440" s="20">
        <v>5</v>
      </c>
      <c r="C440" s="20">
        <v>6</v>
      </c>
      <c r="D440" s="20">
        <v>60</v>
      </c>
      <c r="E440" s="20">
        <v>89</v>
      </c>
      <c r="F440" s="20">
        <f>($D$440*G30)</f>
        <v>534.6</v>
      </c>
      <c r="G440" s="20">
        <f>($E$440*H30)</f>
        <v>1111.6100000000001</v>
      </c>
      <c r="H440" s="22">
        <f t="shared" si="76"/>
        <v>4.1114</v>
      </c>
      <c r="I440" s="22">
        <f t="shared" si="77"/>
        <v>3.6048</v>
      </c>
      <c r="J440" s="22">
        <f t="shared" si="80"/>
        <v>0.5065999999999997</v>
      </c>
      <c r="K440" s="20">
        <f t="shared" si="72"/>
        <v>270.82835999999986</v>
      </c>
      <c r="L440" s="20">
        <f t="shared" si="73"/>
        <v>563.1416259999997</v>
      </c>
      <c r="M440" s="22">
        <f t="shared" si="78"/>
        <v>3.9975</v>
      </c>
      <c r="N440" s="22">
        <f t="shared" si="79"/>
        <v>3.5172</v>
      </c>
      <c r="O440" s="22">
        <f t="shared" si="81"/>
        <v>0.48030000000000017</v>
      </c>
      <c r="P440" s="20">
        <f t="shared" si="74"/>
        <v>256.7683800000001</v>
      </c>
      <c r="Q440" s="20">
        <f t="shared" si="75"/>
        <v>533.9062830000003</v>
      </c>
    </row>
    <row r="441" spans="2:17" ht="12.75">
      <c r="B441" s="20">
        <v>6</v>
      </c>
      <c r="C441" s="20">
        <v>7</v>
      </c>
      <c r="D441" s="20">
        <v>62</v>
      </c>
      <c r="E441" s="20">
        <v>91</v>
      </c>
      <c r="F441" s="20">
        <f>($D$441*G30)</f>
        <v>552.42</v>
      </c>
      <c r="G441" s="20">
        <f>($E$441*H30)</f>
        <v>1136.59</v>
      </c>
      <c r="H441" s="22">
        <f t="shared" si="76"/>
        <v>4.5638</v>
      </c>
      <c r="I441" s="22">
        <f t="shared" si="77"/>
        <v>4.1114</v>
      </c>
      <c r="J441" s="22">
        <f t="shared" si="80"/>
        <v>0.4523999999999999</v>
      </c>
      <c r="K441" s="20">
        <f t="shared" si="72"/>
        <v>249.91480799999994</v>
      </c>
      <c r="L441" s="20">
        <f t="shared" si="73"/>
        <v>514.1933159999999</v>
      </c>
      <c r="M441" s="22">
        <f t="shared" si="78"/>
        <v>4.4226</v>
      </c>
      <c r="N441" s="22">
        <f t="shared" si="79"/>
        <v>3.9975</v>
      </c>
      <c r="O441" s="22">
        <f t="shared" si="81"/>
        <v>0.42510000000000003</v>
      </c>
      <c r="P441" s="20">
        <f t="shared" si="74"/>
        <v>234.833742</v>
      </c>
      <c r="Q441" s="20">
        <f t="shared" si="75"/>
        <v>483.164409</v>
      </c>
    </row>
    <row r="442" spans="2:17" ht="12.75">
      <c r="B442" s="20">
        <v>7</v>
      </c>
      <c r="C442" s="20">
        <v>30</v>
      </c>
      <c r="D442" s="20">
        <v>64</v>
      </c>
      <c r="E442" s="20">
        <v>95</v>
      </c>
      <c r="F442" s="20">
        <f>($D$442*G30)</f>
        <v>570.24</v>
      </c>
      <c r="G442" s="20">
        <f>($E$442*H30)</f>
        <v>1186.55</v>
      </c>
      <c r="H442" s="22">
        <f t="shared" si="76"/>
        <v>8.0552</v>
      </c>
      <c r="I442" s="22">
        <f t="shared" si="77"/>
        <v>4.5638</v>
      </c>
      <c r="J442" s="22">
        <f t="shared" si="80"/>
        <v>3.4913999999999996</v>
      </c>
      <c r="K442" s="20">
        <f t="shared" si="72"/>
        <v>1990.9359359999999</v>
      </c>
      <c r="L442" s="20">
        <f t="shared" si="73"/>
        <v>4142.72067</v>
      </c>
      <c r="M442" s="22">
        <f t="shared" si="78"/>
        <v>7.4957</v>
      </c>
      <c r="N442" s="22">
        <f t="shared" si="79"/>
        <v>4.4226</v>
      </c>
      <c r="O442" s="22">
        <f t="shared" si="81"/>
        <v>3.0731</v>
      </c>
      <c r="P442" s="20">
        <f t="shared" si="74"/>
        <v>1752.4045440000002</v>
      </c>
      <c r="Q442" s="20">
        <f t="shared" si="75"/>
        <v>3646.386805</v>
      </c>
    </row>
    <row r="443" spans="2:17" ht="12.7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2:17" ht="12.75">
      <c r="B444" s="18" t="s">
        <v>419</v>
      </c>
      <c r="C444" s="18" t="s">
        <v>419</v>
      </c>
      <c r="D444" s="18" t="s">
        <v>419</v>
      </c>
      <c r="E444" s="18" t="s">
        <v>419</v>
      </c>
      <c r="F444" s="18" t="s">
        <v>419</v>
      </c>
      <c r="G444" s="18" t="s">
        <v>419</v>
      </c>
      <c r="H444" s="18" t="s">
        <v>419</v>
      </c>
      <c r="I444" s="18" t="s">
        <v>419</v>
      </c>
      <c r="J444" s="18" t="s">
        <v>419</v>
      </c>
      <c r="K444" s="18" t="s">
        <v>419</v>
      </c>
      <c r="L444" s="18" t="s">
        <v>419</v>
      </c>
      <c r="M444" s="18" t="s">
        <v>419</v>
      </c>
      <c r="N444" s="18" t="s">
        <v>419</v>
      </c>
      <c r="O444" s="18" t="s">
        <v>419</v>
      </c>
      <c r="P444" s="18" t="s">
        <v>419</v>
      </c>
      <c r="Q444" s="18" t="s">
        <v>419</v>
      </c>
    </row>
    <row r="445" spans="2:17" ht="12.75">
      <c r="B445" s="17" t="s">
        <v>23</v>
      </c>
      <c r="K445" s="20">
        <f>SUM(K434:K442)</f>
        <v>4678.885134</v>
      </c>
      <c r="L445" s="20">
        <f>SUM(L434:L442)</f>
        <v>9749.850125</v>
      </c>
      <c r="P445" s="20">
        <f>SUM(P434:P442)</f>
        <v>4368.375198</v>
      </c>
      <c r="Q445" s="20">
        <f>SUM(Q434:Q442)</f>
        <v>9103.856084</v>
      </c>
    </row>
    <row r="446" spans="2:17" ht="12.75">
      <c r="B446" s="18" t="s">
        <v>419</v>
      </c>
      <c r="C446" s="18" t="s">
        <v>419</v>
      </c>
      <c r="D446" s="18" t="s">
        <v>419</v>
      </c>
      <c r="E446" s="18" t="s">
        <v>419</v>
      </c>
      <c r="F446" s="18" t="s">
        <v>419</v>
      </c>
      <c r="G446" s="18" t="s">
        <v>419</v>
      </c>
      <c r="H446" s="18" t="s">
        <v>419</v>
      </c>
      <c r="I446" s="18" t="s">
        <v>419</v>
      </c>
      <c r="J446" s="18" t="s">
        <v>419</v>
      </c>
      <c r="K446" s="18" t="s">
        <v>419</v>
      </c>
      <c r="L446" s="18" t="s">
        <v>419</v>
      </c>
      <c r="M446" s="18" t="s">
        <v>419</v>
      </c>
      <c r="N446" s="18" t="s">
        <v>419</v>
      </c>
      <c r="O446" s="18" t="s">
        <v>419</v>
      </c>
      <c r="P446" s="18" t="s">
        <v>419</v>
      </c>
      <c r="Q446" s="18" t="s">
        <v>419</v>
      </c>
    </row>
    <row r="447" spans="1:15" ht="12.75">
      <c r="A447" s="6"/>
      <c r="B447" s="6"/>
      <c r="C447" s="8"/>
      <c r="D447" s="6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2.75">
      <c r="A448" s="6"/>
      <c r="B448" s="6"/>
      <c r="C448" s="9"/>
      <c r="D448" s="6"/>
      <c r="E448" s="9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2.75">
      <c r="A449" s="6"/>
      <c r="B449" s="8"/>
      <c r="C449" s="12"/>
      <c r="D449" s="6"/>
      <c r="E449" s="12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2.75">
      <c r="A451" s="6"/>
      <c r="B451" s="8"/>
      <c r="C451" s="12"/>
      <c r="D451" s="6"/>
      <c r="E451" s="12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2.75">
      <c r="A453" s="6"/>
      <c r="B453" s="8"/>
      <c r="C453" s="12"/>
      <c r="D453" s="6"/>
      <c r="E453" s="12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2.75">
      <c r="A455" s="6"/>
      <c r="B455" s="8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2.75">
      <c r="A456" s="6"/>
      <c r="B456" s="9"/>
      <c r="C456" s="9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2.75">
      <c r="A457" s="6"/>
      <c r="B457" s="6"/>
      <c r="C457" s="8"/>
      <c r="D457" s="6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2.75">
      <c r="A458" s="6"/>
      <c r="B458" s="6"/>
      <c r="C458" s="9"/>
      <c r="D458" s="6"/>
      <c r="E458" s="9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2.75">
      <c r="A459" s="6"/>
      <c r="B459" s="8"/>
      <c r="C459" s="12"/>
      <c r="D459" s="6"/>
      <c r="E459" s="12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2.75">
      <c r="A461" s="6"/>
      <c r="B461" s="8"/>
      <c r="C461" s="12"/>
      <c r="D461" s="6"/>
      <c r="E461" s="12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2.75">
      <c r="A463" s="6"/>
      <c r="B463" s="8"/>
      <c r="C463" s="12"/>
      <c r="D463" s="6"/>
      <c r="E463" s="12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2.75">
      <c r="A465" s="6"/>
      <c r="B465" s="8"/>
      <c r="C465" s="12"/>
      <c r="D465" s="6"/>
      <c r="E465" s="12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2.75">
      <c r="A467" s="6"/>
      <c r="B467" s="8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2.75">
      <c r="A468" s="6"/>
      <c r="B468" s="9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2.75">
      <c r="A469" s="6"/>
      <c r="B469" s="6"/>
      <c r="C469" s="8"/>
      <c r="D469" s="6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2.75">
      <c r="A470" s="6"/>
      <c r="B470" s="6"/>
      <c r="C470" s="9"/>
      <c r="D470" s="6"/>
      <c r="E470" s="9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2.75">
      <c r="A471" s="6"/>
      <c r="B471" s="8"/>
      <c r="C471" s="12"/>
      <c r="D471" s="6"/>
      <c r="E471" s="12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2.75">
      <c r="A472" s="6"/>
      <c r="B472" s="8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2.75">
      <c r="A473" s="6"/>
      <c r="B473" s="8"/>
      <c r="C473" s="12"/>
      <c r="D473" s="6"/>
      <c r="E473" s="12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2.75">
      <c r="A475" s="6"/>
      <c r="B475" s="8"/>
      <c r="C475" s="12"/>
      <c r="D475" s="6"/>
      <c r="E475" s="12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2.75">
      <c r="A477" s="6"/>
      <c r="B477" s="8"/>
      <c r="C477" s="6"/>
      <c r="D477" s="6"/>
      <c r="E477" s="13"/>
      <c r="F477" s="6"/>
      <c r="G477" s="6"/>
      <c r="H477" s="8"/>
      <c r="I477" s="6"/>
      <c r="J477" s="6"/>
      <c r="K477" s="6"/>
      <c r="L477" s="6"/>
      <c r="M477" s="6"/>
      <c r="N477" s="6"/>
      <c r="O477" s="6"/>
    </row>
    <row r="478" spans="1:15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2.75">
      <c r="A479" s="6"/>
      <c r="B479" s="8"/>
      <c r="C479" s="6"/>
      <c r="D479" s="6"/>
      <c r="E479" s="13"/>
      <c r="F479" s="6"/>
      <c r="G479" s="6"/>
      <c r="H479" s="8"/>
      <c r="I479" s="6"/>
      <c r="J479" s="6"/>
      <c r="K479" s="6"/>
      <c r="L479" s="6"/>
      <c r="M479" s="6"/>
      <c r="N479" s="6"/>
      <c r="O479" s="6"/>
    </row>
    <row r="480" spans="1:15" ht="12.75">
      <c r="A480" s="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2.75">
      <c r="A481" s="6"/>
      <c r="B481" s="8"/>
      <c r="C481" s="6"/>
      <c r="D481" s="6"/>
      <c r="E481" s="6"/>
      <c r="F481" s="6"/>
      <c r="G481" s="6"/>
      <c r="H481" s="8"/>
      <c r="I481" s="6"/>
      <c r="J481" s="6"/>
      <c r="K481" s="6"/>
      <c r="L481" s="6"/>
      <c r="M481" s="6"/>
      <c r="N481" s="6"/>
      <c r="O481" s="6"/>
    </row>
    <row r="482" spans="1:15" ht="12.75">
      <c r="A482" s="6"/>
      <c r="B482" s="9"/>
      <c r="C482" s="9"/>
      <c r="D482" s="9"/>
      <c r="E482" s="9"/>
      <c r="F482" s="9"/>
      <c r="G482" s="6"/>
      <c r="H482" s="9"/>
      <c r="I482" s="6"/>
      <c r="J482" s="6"/>
      <c r="K482" s="6"/>
      <c r="L482" s="6"/>
      <c r="M482" s="6"/>
      <c r="N482" s="6"/>
      <c r="O482" s="6"/>
    </row>
    <row r="483" spans="1:15" ht="12.75">
      <c r="A483" s="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6"/>
    </row>
    <row r="484" spans="1:15" ht="12.75">
      <c r="A484" s="6"/>
      <c r="B484" s="6"/>
      <c r="C484" s="6"/>
      <c r="D484" s="6"/>
      <c r="E484" s="6"/>
      <c r="F484" s="6"/>
      <c r="G484" s="6"/>
      <c r="H484" s="6"/>
      <c r="I484" s="6"/>
      <c r="J484" s="8"/>
      <c r="K484" s="6"/>
      <c r="L484" s="6"/>
      <c r="M484" s="6"/>
      <c r="N484" s="6"/>
      <c r="O484" s="6"/>
    </row>
    <row r="485" spans="1:15" ht="12.75">
      <c r="A485" s="6"/>
      <c r="B485" s="6"/>
      <c r="C485" s="6"/>
      <c r="D485" s="8"/>
      <c r="E485" s="6"/>
      <c r="F485" s="6"/>
      <c r="G485" s="6"/>
      <c r="H485" s="6"/>
      <c r="I485" s="6"/>
      <c r="J485" s="9"/>
      <c r="K485" s="9"/>
      <c r="L485" s="9"/>
      <c r="M485" s="6"/>
      <c r="N485" s="6"/>
      <c r="O485" s="6"/>
    </row>
    <row r="486" spans="1:15" ht="12.75">
      <c r="A486" s="6"/>
      <c r="B486" s="6"/>
      <c r="C486" s="6"/>
      <c r="D486" s="6"/>
      <c r="E486" s="6"/>
      <c r="F486" s="6"/>
      <c r="G486" s="6"/>
      <c r="H486" s="12"/>
      <c r="I486" s="8"/>
      <c r="J486" s="6"/>
      <c r="K486" s="6"/>
      <c r="L486" s="12"/>
      <c r="M486" s="8"/>
      <c r="N486" s="6"/>
      <c r="O486" s="6"/>
    </row>
    <row r="487" spans="1:15" ht="12.75">
      <c r="A487" s="6"/>
      <c r="B487" s="6"/>
      <c r="C487" s="6"/>
      <c r="D487" s="9"/>
      <c r="E487" s="9"/>
      <c r="F487" s="8"/>
      <c r="G487" s="8"/>
      <c r="H487" s="9"/>
      <c r="I487" s="9"/>
      <c r="J487" s="9"/>
      <c r="K487" s="6"/>
      <c r="L487" s="9"/>
      <c r="M487" s="9"/>
      <c r="N487" s="9"/>
      <c r="O487" s="6"/>
    </row>
    <row r="488" spans="1:15" ht="12.75">
      <c r="A488" s="6"/>
      <c r="B488" s="8"/>
      <c r="C488" s="8"/>
      <c r="D488" s="8"/>
      <c r="E488" s="8"/>
      <c r="F488" s="10"/>
      <c r="G488" s="10"/>
      <c r="H488" s="11"/>
      <c r="I488" s="11"/>
      <c r="J488" s="11"/>
      <c r="K488" s="6"/>
      <c r="L488" s="11"/>
      <c r="M488" s="11"/>
      <c r="N488" s="11"/>
      <c r="O488" s="6"/>
    </row>
    <row r="489" spans="1:15" ht="12.75">
      <c r="A489" s="6"/>
      <c r="B489" s="9"/>
      <c r="C489" s="9"/>
      <c r="D489" s="9"/>
      <c r="E489" s="9"/>
      <c r="F489" s="9"/>
      <c r="G489" s="9"/>
      <c r="H489" s="9"/>
      <c r="I489" s="9"/>
      <c r="J489" s="9"/>
      <c r="K489" s="6"/>
      <c r="L489" s="9"/>
      <c r="M489" s="9"/>
      <c r="N489" s="9"/>
      <c r="O489" s="6"/>
    </row>
    <row r="490" spans="1:15" ht="12.75">
      <c r="A490" s="6"/>
      <c r="B490" s="8"/>
      <c r="C490" s="12"/>
      <c r="D490" s="12"/>
      <c r="E490" s="12"/>
      <c r="F490" s="12"/>
      <c r="G490" s="12"/>
      <c r="H490" s="15"/>
      <c r="I490" s="12"/>
      <c r="J490" s="12"/>
      <c r="K490" s="6"/>
      <c r="L490" s="15"/>
      <c r="M490" s="12"/>
      <c r="N490" s="12"/>
      <c r="O490" s="6"/>
    </row>
    <row r="491" spans="1:15" ht="12.75">
      <c r="A491" s="6"/>
      <c r="B491" s="8"/>
      <c r="C491" s="12"/>
      <c r="D491" s="12"/>
      <c r="E491" s="12"/>
      <c r="F491" s="12"/>
      <c r="G491" s="12"/>
      <c r="H491" s="15"/>
      <c r="I491" s="12"/>
      <c r="J491" s="12"/>
      <c r="K491" s="6"/>
      <c r="L491" s="15"/>
      <c r="M491" s="12"/>
      <c r="N491" s="12"/>
      <c r="O491" s="6"/>
    </row>
    <row r="492" spans="1:15" ht="12.75">
      <c r="A492" s="6"/>
      <c r="B492" s="8"/>
      <c r="C492" s="12"/>
      <c r="D492" s="12"/>
      <c r="E492" s="12"/>
      <c r="F492" s="12"/>
      <c r="G492" s="12"/>
      <c r="H492" s="15"/>
      <c r="I492" s="12"/>
      <c r="J492" s="12"/>
      <c r="K492" s="6"/>
      <c r="L492" s="15"/>
      <c r="M492" s="12"/>
      <c r="N492" s="12"/>
      <c r="O492" s="6"/>
    </row>
    <row r="493" spans="1:15" ht="12.75">
      <c r="A493" s="6"/>
      <c r="B493" s="8"/>
      <c r="C493" s="12"/>
      <c r="D493" s="12"/>
      <c r="E493" s="12"/>
      <c r="F493" s="12"/>
      <c r="G493" s="12"/>
      <c r="H493" s="15"/>
      <c r="I493" s="12"/>
      <c r="J493" s="12"/>
      <c r="K493" s="6"/>
      <c r="L493" s="15"/>
      <c r="M493" s="12"/>
      <c r="N493" s="12"/>
      <c r="O493" s="6"/>
    </row>
    <row r="494" spans="1:15" ht="12.75">
      <c r="A494" s="6"/>
      <c r="B494" s="8"/>
      <c r="C494" s="12"/>
      <c r="D494" s="12"/>
      <c r="E494" s="12"/>
      <c r="F494" s="12"/>
      <c r="G494" s="12"/>
      <c r="H494" s="15"/>
      <c r="I494" s="12"/>
      <c r="J494" s="12"/>
      <c r="K494" s="6"/>
      <c r="L494" s="15"/>
      <c r="M494" s="12"/>
      <c r="N494" s="12"/>
      <c r="O494" s="6"/>
    </row>
    <row r="495" spans="1:15" ht="12.75">
      <c r="A495" s="6"/>
      <c r="B495" s="16"/>
      <c r="C495" s="12"/>
      <c r="D495" s="12"/>
      <c r="E495" s="12"/>
      <c r="F495" s="12"/>
      <c r="G495" s="12"/>
      <c r="H495" s="15"/>
      <c r="I495" s="12"/>
      <c r="J495" s="12"/>
      <c r="K495" s="6"/>
      <c r="L495" s="15"/>
      <c r="M495" s="12"/>
      <c r="N495" s="12"/>
      <c r="O495" s="6"/>
    </row>
    <row r="496" spans="1:15" ht="12.75">
      <c r="A496" s="6"/>
      <c r="B496" s="8"/>
      <c r="C496" s="12"/>
      <c r="D496" s="12"/>
      <c r="E496" s="12"/>
      <c r="F496" s="12"/>
      <c r="G496" s="12"/>
      <c r="H496" s="15"/>
      <c r="I496" s="12"/>
      <c r="J496" s="12"/>
      <c r="K496" s="6"/>
      <c r="L496" s="15"/>
      <c r="M496" s="12"/>
      <c r="N496" s="12"/>
      <c r="O496" s="6"/>
    </row>
    <row r="497" spans="1:15" ht="12.75">
      <c r="A497" s="6"/>
      <c r="B497" s="8"/>
      <c r="C497" s="6"/>
      <c r="D497" s="12"/>
      <c r="E497" s="6"/>
      <c r="F497" s="12"/>
      <c r="G497" s="12"/>
      <c r="H497" s="15"/>
      <c r="I497" s="12"/>
      <c r="J497" s="12"/>
      <c r="K497" s="6"/>
      <c r="L497" s="15"/>
      <c r="M497" s="12"/>
      <c r="N497" s="12"/>
      <c r="O497" s="6"/>
    </row>
    <row r="498" spans="1:15" ht="12.75">
      <c r="A498" s="6"/>
      <c r="B498" s="8"/>
      <c r="C498" s="6"/>
      <c r="D498" s="12"/>
      <c r="E498" s="6"/>
      <c r="F498" s="12"/>
      <c r="G498" s="12"/>
      <c r="H498" s="15"/>
      <c r="I498" s="12"/>
      <c r="J498" s="12"/>
      <c r="K498" s="6"/>
      <c r="L498" s="15"/>
      <c r="M498" s="12"/>
      <c r="N498" s="12"/>
      <c r="O498" s="6"/>
    </row>
    <row r="499" spans="1:15" ht="12.75">
      <c r="A499" s="6"/>
      <c r="B499" s="8"/>
      <c r="C499" s="12"/>
      <c r="D499" s="12"/>
      <c r="E499" s="12"/>
      <c r="F499" s="12"/>
      <c r="G499" s="12"/>
      <c r="H499" s="15"/>
      <c r="I499" s="12"/>
      <c r="J499" s="12"/>
      <c r="K499" s="6"/>
      <c r="L499" s="15"/>
      <c r="M499" s="12"/>
      <c r="N499" s="12"/>
      <c r="O499" s="6"/>
    </row>
    <row r="500" spans="1:15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2.75">
      <c r="A501" s="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8"/>
    </row>
    <row r="502" spans="1:15" ht="12.75">
      <c r="A502" s="6"/>
      <c r="B502" s="8"/>
      <c r="C502" s="6"/>
      <c r="D502" s="12"/>
      <c r="E502" s="12"/>
      <c r="F502" s="12"/>
      <c r="G502" s="12"/>
      <c r="H502" s="6"/>
      <c r="I502" s="12"/>
      <c r="J502" s="12"/>
      <c r="K502" s="6"/>
      <c r="L502" s="6"/>
      <c r="M502" s="12"/>
      <c r="N502" s="12"/>
      <c r="O502" s="6"/>
    </row>
    <row r="503" spans="1:15" ht="12.75">
      <c r="A503" s="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6"/>
    </row>
    <row r="505" spans="2:8" ht="12.75">
      <c r="B505" s="17"/>
      <c r="H505" s="17"/>
    </row>
    <row r="506" spans="2:8" ht="12.75">
      <c r="B506" s="18"/>
      <c r="C506" s="18"/>
      <c r="D506" s="18"/>
      <c r="E506" s="18"/>
      <c r="H506" s="18"/>
    </row>
    <row r="507" spans="2:13" ht="12.75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3:9" ht="12.75">
      <c r="C508" s="17"/>
      <c r="E508" s="19"/>
      <c r="I508" s="17"/>
    </row>
    <row r="509" spans="2:12" ht="12.75">
      <c r="B509" s="17"/>
      <c r="C509" s="18"/>
      <c r="D509" s="18"/>
      <c r="E509" s="17"/>
      <c r="I509" s="18"/>
      <c r="J509" s="18"/>
      <c r="K509" s="18"/>
      <c r="L509" s="18"/>
    </row>
    <row r="510" spans="5:12" ht="12.75">
      <c r="E510" s="18"/>
      <c r="F510" s="17"/>
      <c r="G510" s="20"/>
      <c r="H510" s="17"/>
      <c r="K510" s="20"/>
      <c r="L510" s="17"/>
    </row>
    <row r="511" spans="7:13" ht="12.75">
      <c r="G511" s="18"/>
      <c r="H511" s="18"/>
      <c r="I511" s="18"/>
      <c r="K511" s="18"/>
      <c r="L511" s="18"/>
      <c r="M511" s="18"/>
    </row>
    <row r="512" spans="3:13" ht="12.75">
      <c r="C512" s="17"/>
      <c r="D512" s="17"/>
      <c r="E512" s="17"/>
      <c r="F512" s="17"/>
      <c r="G512" s="21"/>
      <c r="H512" s="21"/>
      <c r="I512" s="21"/>
      <c r="K512" s="21"/>
      <c r="L512" s="21"/>
      <c r="M512" s="21"/>
    </row>
    <row r="513" spans="2:13" ht="12.75">
      <c r="B513" s="18"/>
      <c r="C513" s="18"/>
      <c r="D513" s="18"/>
      <c r="E513" s="18"/>
      <c r="F513" s="18"/>
      <c r="G513" s="18"/>
      <c r="H513" s="18"/>
      <c r="I513" s="18"/>
      <c r="K513" s="18"/>
      <c r="L513" s="18"/>
      <c r="M513" s="18"/>
    </row>
    <row r="514" spans="2:13" ht="12.75">
      <c r="B514" s="20"/>
      <c r="C514" s="20"/>
      <c r="D514" s="20"/>
      <c r="E514" s="20"/>
      <c r="F514" s="20"/>
      <c r="G514" s="22"/>
      <c r="H514" s="20"/>
      <c r="I514" s="20"/>
      <c r="K514" s="22"/>
      <c r="L514" s="20"/>
      <c r="M514" s="20"/>
    </row>
    <row r="515" spans="2:13" ht="12.75">
      <c r="B515" s="20"/>
      <c r="C515" s="20"/>
      <c r="D515" s="20"/>
      <c r="E515" s="20"/>
      <c r="F515" s="20"/>
      <c r="G515" s="22"/>
      <c r="H515" s="20"/>
      <c r="I515" s="20"/>
      <c r="K515" s="22"/>
      <c r="L515" s="20"/>
      <c r="M515" s="20"/>
    </row>
    <row r="516" spans="2:13" ht="12.75">
      <c r="B516" s="20"/>
      <c r="C516" s="20"/>
      <c r="D516" s="20"/>
      <c r="E516" s="20"/>
      <c r="F516" s="20"/>
      <c r="G516" s="22"/>
      <c r="H516" s="20"/>
      <c r="I516" s="20"/>
      <c r="K516" s="22"/>
      <c r="L516" s="20"/>
      <c r="M516" s="20"/>
    </row>
    <row r="517" spans="2:13" ht="12.75">
      <c r="B517" s="20"/>
      <c r="C517" s="20"/>
      <c r="D517" s="20"/>
      <c r="E517" s="20"/>
      <c r="F517" s="20"/>
      <c r="G517" s="22"/>
      <c r="H517" s="20"/>
      <c r="I517" s="20"/>
      <c r="K517" s="22"/>
      <c r="L517" s="20"/>
      <c r="M517" s="20"/>
    </row>
    <row r="518" spans="2:13" ht="12.75">
      <c r="B518" s="20"/>
      <c r="C518" s="20"/>
      <c r="D518" s="20"/>
      <c r="E518" s="20"/>
      <c r="F518" s="20"/>
      <c r="G518" s="22"/>
      <c r="H518" s="20"/>
      <c r="I518" s="20"/>
      <c r="K518" s="22"/>
      <c r="L518" s="20"/>
      <c r="M518" s="20"/>
    </row>
    <row r="519" spans="2:13" ht="12.75">
      <c r="B519" s="20"/>
      <c r="C519" s="20"/>
      <c r="D519" s="20"/>
      <c r="E519" s="20"/>
      <c r="F519" s="20"/>
      <c r="G519" s="22"/>
      <c r="H519" s="20"/>
      <c r="I519" s="20"/>
      <c r="K519" s="22"/>
      <c r="L519" s="20"/>
      <c r="M519" s="20"/>
    </row>
    <row r="520" spans="2:13" ht="12.75">
      <c r="B520" s="20"/>
      <c r="C520" s="20"/>
      <c r="D520" s="20"/>
      <c r="E520" s="20"/>
      <c r="F520" s="20"/>
      <c r="G520" s="22"/>
      <c r="H520" s="20"/>
      <c r="I520" s="20"/>
      <c r="K520" s="22"/>
      <c r="L520" s="20"/>
      <c r="M520" s="20"/>
    </row>
    <row r="521" spans="2:13" ht="12.75">
      <c r="B521" s="20"/>
      <c r="C521" s="20"/>
      <c r="D521" s="20"/>
      <c r="E521" s="20"/>
      <c r="F521" s="20"/>
      <c r="G521" s="22"/>
      <c r="H521" s="20"/>
      <c r="I521" s="20"/>
      <c r="K521" s="22"/>
      <c r="L521" s="20"/>
      <c r="M521" s="20"/>
    </row>
    <row r="522" spans="2:13" ht="12.75">
      <c r="B522" s="20"/>
      <c r="C522" s="20"/>
      <c r="D522" s="20"/>
      <c r="E522" s="20"/>
      <c r="F522" s="20"/>
      <c r="G522" s="22"/>
      <c r="H522" s="20"/>
      <c r="I522" s="20"/>
      <c r="K522" s="22"/>
      <c r="L522" s="20"/>
      <c r="M522" s="20"/>
    </row>
    <row r="523" spans="2:13" ht="12.75">
      <c r="B523" s="20"/>
      <c r="C523" s="20"/>
      <c r="D523" s="20"/>
      <c r="E523" s="20"/>
      <c r="F523" s="20"/>
      <c r="G523" s="22"/>
      <c r="H523" s="20"/>
      <c r="I523" s="20"/>
      <c r="K523" s="22"/>
      <c r="L523" s="20"/>
      <c r="M523" s="20"/>
    </row>
    <row r="524" spans="2:13" ht="12.75">
      <c r="B524" s="17"/>
      <c r="H524" s="20"/>
      <c r="I524" s="20"/>
      <c r="J524" s="17"/>
      <c r="K524" s="17"/>
      <c r="L524" s="20"/>
      <c r="M524" s="20"/>
    </row>
    <row r="525" spans="2:13" ht="12.75">
      <c r="B525" s="20"/>
      <c r="C525" s="20"/>
      <c r="D525" s="20"/>
      <c r="E525" s="20"/>
      <c r="F525" s="20"/>
      <c r="G525" s="22"/>
      <c r="H525" s="20"/>
      <c r="I525" s="20"/>
      <c r="K525" s="22"/>
      <c r="L525" s="20"/>
      <c r="M525" s="20"/>
    </row>
    <row r="526" spans="7:11" ht="12.75">
      <c r="G526" s="23"/>
      <c r="K526" s="23"/>
    </row>
    <row r="527" spans="2:13" ht="12.75">
      <c r="B527" s="20"/>
      <c r="C527" s="20"/>
      <c r="D527" s="20"/>
      <c r="E527" s="20"/>
      <c r="F527" s="20"/>
      <c r="G527" s="22"/>
      <c r="H527" s="20"/>
      <c r="I527" s="20"/>
      <c r="K527" s="22"/>
      <c r="L527" s="20"/>
      <c r="M527" s="20"/>
    </row>
    <row r="528" spans="2:13" ht="12.75">
      <c r="B528" s="20"/>
      <c r="C528" s="20"/>
      <c r="D528" s="20"/>
      <c r="E528" s="20"/>
      <c r="F528" s="20"/>
      <c r="G528" s="22"/>
      <c r="H528" s="20"/>
      <c r="I528" s="20"/>
      <c r="K528" s="22"/>
      <c r="L528" s="20"/>
      <c r="M528" s="20"/>
    </row>
    <row r="529" spans="2:13" ht="12.75">
      <c r="B529" s="20"/>
      <c r="C529" s="20"/>
      <c r="D529" s="20"/>
      <c r="E529" s="20"/>
      <c r="F529" s="20"/>
      <c r="G529" s="22"/>
      <c r="H529" s="20"/>
      <c r="I529" s="20"/>
      <c r="K529" s="22"/>
      <c r="L529" s="20"/>
      <c r="M529" s="20"/>
    </row>
    <row r="530" spans="2:13" ht="12.75">
      <c r="B530" s="20"/>
      <c r="C530" s="20"/>
      <c r="D530" s="20"/>
      <c r="E530" s="20"/>
      <c r="F530" s="20"/>
      <c r="G530" s="22"/>
      <c r="H530" s="20"/>
      <c r="I530" s="20"/>
      <c r="K530" s="22"/>
      <c r="L530" s="20"/>
      <c r="M530" s="20"/>
    </row>
    <row r="531" spans="2:13" ht="12.75">
      <c r="B531" s="20"/>
      <c r="C531" s="20"/>
      <c r="D531" s="20"/>
      <c r="E531" s="20"/>
      <c r="F531" s="20"/>
      <c r="G531" s="22"/>
      <c r="H531" s="20"/>
      <c r="I531" s="20"/>
      <c r="K531" s="22"/>
      <c r="L531" s="20"/>
      <c r="M531" s="20"/>
    </row>
    <row r="532" spans="2:13" ht="12.75">
      <c r="B532" s="20"/>
      <c r="C532" s="20"/>
      <c r="D532" s="20"/>
      <c r="E532" s="20"/>
      <c r="F532" s="20"/>
      <c r="G532" s="22"/>
      <c r="H532" s="20"/>
      <c r="I532" s="20"/>
      <c r="K532" s="22"/>
      <c r="L532" s="20"/>
      <c r="M532" s="20"/>
    </row>
    <row r="533" spans="2:13" ht="12.75">
      <c r="B533" s="20"/>
      <c r="C533" s="20"/>
      <c r="D533" s="20"/>
      <c r="E533" s="20"/>
      <c r="F533" s="20"/>
      <c r="G533" s="22"/>
      <c r="H533" s="20"/>
      <c r="I533" s="20"/>
      <c r="K533" s="22"/>
      <c r="L533" s="20"/>
      <c r="M533" s="20"/>
    </row>
    <row r="534" spans="2:13" ht="12.75">
      <c r="B534" s="20"/>
      <c r="C534" s="20"/>
      <c r="D534" s="20"/>
      <c r="E534" s="20"/>
      <c r="F534" s="20"/>
      <c r="G534" s="22"/>
      <c r="H534" s="20"/>
      <c r="I534" s="20"/>
      <c r="K534" s="22"/>
      <c r="L534" s="20"/>
      <c r="M534" s="20"/>
    </row>
    <row r="535" spans="2:13" ht="12.75">
      <c r="B535" s="20"/>
      <c r="C535" s="20"/>
      <c r="D535" s="20"/>
      <c r="E535" s="20"/>
      <c r="F535" s="20"/>
      <c r="G535" s="22"/>
      <c r="H535" s="20"/>
      <c r="I535" s="20"/>
      <c r="K535" s="22"/>
      <c r="L535" s="20"/>
      <c r="M535" s="20"/>
    </row>
    <row r="537" spans="2:13" ht="12.75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2:13" ht="12.75">
      <c r="B538" s="17"/>
      <c r="H538" s="20"/>
      <c r="I538" s="20"/>
      <c r="J538" s="17"/>
      <c r="K538" s="17"/>
      <c r="L538" s="20"/>
      <c r="M538" s="20"/>
    </row>
    <row r="539" spans="2:13" ht="12.75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 ht="12.75">
      <c r="A540" s="17"/>
    </row>
    <row r="541" spans="2:8" ht="12.75">
      <c r="B541" s="17"/>
      <c r="H541" s="17"/>
    </row>
    <row r="542" spans="2:8" ht="12.75">
      <c r="B542" s="18"/>
      <c r="C542" s="18"/>
      <c r="D542" s="18"/>
      <c r="E542" s="18"/>
      <c r="H542" s="18"/>
    </row>
    <row r="543" ht="12.75">
      <c r="E543" s="17"/>
    </row>
    <row r="544" spans="5:7" ht="12.75">
      <c r="E544" s="18"/>
      <c r="F544" s="18"/>
      <c r="G544" s="18"/>
    </row>
    <row r="545" spans="2:24" ht="12.75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5:17" ht="12.75">
      <c r="E546" s="17"/>
      <c r="H546" s="17"/>
      <c r="K546" s="17"/>
      <c r="Q546" s="17"/>
    </row>
    <row r="547" spans="3:21" ht="12.75">
      <c r="C547" s="17"/>
      <c r="E547" s="18"/>
      <c r="F547" s="18"/>
      <c r="H547" s="18"/>
      <c r="I547" s="18"/>
      <c r="J547" s="17"/>
      <c r="K547" s="18"/>
      <c r="L547" s="18"/>
      <c r="M547" s="18"/>
      <c r="N547" s="18"/>
      <c r="Q547" s="18"/>
      <c r="R547" s="18"/>
      <c r="S547" s="18"/>
      <c r="T547" s="18"/>
      <c r="U547" s="18"/>
    </row>
    <row r="548" spans="17:23" ht="12.75">
      <c r="Q548" s="20"/>
      <c r="R548" s="17"/>
      <c r="V548" s="20"/>
      <c r="W548" s="17"/>
    </row>
    <row r="549" spans="2:24" ht="12.75">
      <c r="B549" s="17"/>
      <c r="C549" s="17"/>
      <c r="F549" s="19"/>
      <c r="G549" s="19"/>
      <c r="H549" s="17"/>
      <c r="J549" s="17"/>
      <c r="K549" s="17"/>
      <c r="M549" s="17"/>
      <c r="Q549" s="18"/>
      <c r="R549" s="18"/>
      <c r="S549" s="18"/>
      <c r="V549" s="18"/>
      <c r="W549" s="18"/>
      <c r="X549" s="18"/>
    </row>
    <row r="550" spans="4:24" ht="12.75">
      <c r="D550" s="17"/>
      <c r="E550" s="17"/>
      <c r="F550" s="19"/>
      <c r="G550" s="19"/>
      <c r="H550" s="17"/>
      <c r="J550" s="17"/>
      <c r="K550" s="24"/>
      <c r="M550" s="24"/>
      <c r="O550" s="21"/>
      <c r="P550" s="21"/>
      <c r="Q550" s="17"/>
      <c r="R550" s="21"/>
      <c r="S550" s="21"/>
      <c r="T550" s="21"/>
      <c r="U550" s="21"/>
      <c r="V550" s="17"/>
      <c r="W550" s="21"/>
      <c r="X550" s="21"/>
    </row>
    <row r="551" spans="2:24" ht="12.75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2:24" ht="12.75">
      <c r="B552" s="20"/>
      <c r="C552" s="20"/>
      <c r="D552" s="20"/>
      <c r="E552" s="20"/>
      <c r="F552" s="20"/>
      <c r="G552" s="20"/>
      <c r="H552" s="20"/>
      <c r="I552" s="22"/>
      <c r="J552" s="20"/>
      <c r="K552" s="20"/>
      <c r="M552" s="20"/>
      <c r="O552" s="22"/>
      <c r="P552" s="22"/>
      <c r="Q552" s="22"/>
      <c r="R552" s="20"/>
      <c r="S552" s="20"/>
      <c r="T552" s="22"/>
      <c r="U552" s="22"/>
      <c r="V552" s="22"/>
      <c r="W552" s="20"/>
      <c r="X552" s="20"/>
    </row>
    <row r="553" spans="2:24" ht="12.75">
      <c r="B553" s="20"/>
      <c r="C553" s="20"/>
      <c r="D553" s="20"/>
      <c r="E553" s="20"/>
      <c r="F553" s="20"/>
      <c r="G553" s="20"/>
      <c r="H553" s="20"/>
      <c r="I553" s="22"/>
      <c r="J553" s="20"/>
      <c r="K553" s="20"/>
      <c r="M553" s="20"/>
      <c r="O553" s="22"/>
      <c r="P553" s="22"/>
      <c r="Q553" s="22"/>
      <c r="R553" s="20"/>
      <c r="S553" s="20"/>
      <c r="T553" s="22"/>
      <c r="U553" s="22"/>
      <c r="V553" s="22"/>
      <c r="W553" s="20"/>
      <c r="X553" s="20"/>
    </row>
    <row r="554" spans="2:24" ht="12.75">
      <c r="B554" s="20"/>
      <c r="C554" s="20"/>
      <c r="D554" s="20"/>
      <c r="E554" s="20"/>
      <c r="F554" s="20"/>
      <c r="G554" s="20"/>
      <c r="H554" s="20"/>
      <c r="I554" s="22"/>
      <c r="J554" s="20"/>
      <c r="K554" s="20"/>
      <c r="M554" s="20"/>
      <c r="O554" s="22"/>
      <c r="P554" s="22"/>
      <c r="Q554" s="22"/>
      <c r="R554" s="20"/>
      <c r="S554" s="20"/>
      <c r="T554" s="22"/>
      <c r="U554" s="22"/>
      <c r="V554" s="22"/>
      <c r="W554" s="20"/>
      <c r="X554" s="20"/>
    </row>
    <row r="555" spans="2:24" ht="12.75">
      <c r="B555" s="20"/>
      <c r="C555" s="20"/>
      <c r="D555" s="20"/>
      <c r="E555" s="20"/>
      <c r="F555" s="20"/>
      <c r="G555" s="20"/>
      <c r="H555" s="20"/>
      <c r="I555" s="22"/>
      <c r="J555" s="20"/>
      <c r="K555" s="20"/>
      <c r="M555" s="20"/>
      <c r="O555" s="22"/>
      <c r="P555" s="22"/>
      <c r="Q555" s="22"/>
      <c r="R555" s="20"/>
      <c r="S555" s="20"/>
      <c r="T555" s="22"/>
      <c r="U555" s="22"/>
      <c r="V555" s="22"/>
      <c r="W555" s="20"/>
      <c r="X555" s="20"/>
    </row>
    <row r="556" spans="2:24" ht="12.75">
      <c r="B556" s="20"/>
      <c r="C556" s="20"/>
      <c r="D556" s="20"/>
      <c r="E556" s="20"/>
      <c r="F556" s="20"/>
      <c r="G556" s="20"/>
      <c r="H556" s="20"/>
      <c r="I556" s="22"/>
      <c r="J556" s="20"/>
      <c r="K556" s="20"/>
      <c r="M556" s="20"/>
      <c r="O556" s="22"/>
      <c r="P556" s="22"/>
      <c r="Q556" s="22"/>
      <c r="R556" s="20"/>
      <c r="S556" s="20"/>
      <c r="T556" s="22"/>
      <c r="U556" s="22"/>
      <c r="V556" s="22"/>
      <c r="W556" s="20"/>
      <c r="X556" s="20"/>
    </row>
    <row r="557" spans="2:24" ht="12.75">
      <c r="B557" s="20"/>
      <c r="C557" s="20"/>
      <c r="D557" s="20"/>
      <c r="E557" s="20"/>
      <c r="F557" s="20"/>
      <c r="G557" s="20"/>
      <c r="H557" s="20"/>
      <c r="I557" s="22"/>
      <c r="J557" s="20"/>
      <c r="K557" s="20"/>
      <c r="M557" s="20"/>
      <c r="O557" s="22"/>
      <c r="P557" s="22"/>
      <c r="Q557" s="22"/>
      <c r="R557" s="20"/>
      <c r="S557" s="20"/>
      <c r="T557" s="22"/>
      <c r="U557" s="22"/>
      <c r="V557" s="22"/>
      <c r="W557" s="20"/>
      <c r="X557" s="20"/>
    </row>
    <row r="558" spans="2:24" ht="12.75">
      <c r="B558" s="20"/>
      <c r="C558" s="20"/>
      <c r="D558" s="20"/>
      <c r="E558" s="20"/>
      <c r="F558" s="20"/>
      <c r="G558" s="20"/>
      <c r="H558" s="20"/>
      <c r="I558" s="22"/>
      <c r="J558" s="20"/>
      <c r="K558" s="20"/>
      <c r="M558" s="20"/>
      <c r="O558" s="22"/>
      <c r="P558" s="22"/>
      <c r="Q558" s="22"/>
      <c r="R558" s="20"/>
      <c r="S558" s="20"/>
      <c r="T558" s="22"/>
      <c r="U558" s="22"/>
      <c r="V558" s="22"/>
      <c r="W558" s="20"/>
      <c r="X558" s="20"/>
    </row>
    <row r="559" spans="2:24" ht="12.75">
      <c r="B559" s="20"/>
      <c r="C559" s="20"/>
      <c r="D559" s="20"/>
      <c r="E559" s="20"/>
      <c r="F559" s="20"/>
      <c r="G559" s="20"/>
      <c r="H559" s="20"/>
      <c r="I559" s="22"/>
      <c r="J559" s="20"/>
      <c r="K559" s="20"/>
      <c r="M559" s="20"/>
      <c r="O559" s="22"/>
      <c r="P559" s="22"/>
      <c r="Q559" s="22"/>
      <c r="R559" s="20"/>
      <c r="S559" s="20"/>
      <c r="T559" s="22"/>
      <c r="U559" s="22"/>
      <c r="V559" s="22"/>
      <c r="W559" s="20"/>
      <c r="X559" s="20"/>
    </row>
    <row r="560" spans="2:24" ht="12.75">
      <c r="B560" s="20"/>
      <c r="C560" s="20"/>
      <c r="D560" s="20"/>
      <c r="E560" s="20"/>
      <c r="F560" s="20"/>
      <c r="G560" s="20"/>
      <c r="H560" s="20"/>
      <c r="I560" s="22"/>
      <c r="J560" s="20"/>
      <c r="K560" s="20"/>
      <c r="M560" s="20"/>
      <c r="O560" s="22"/>
      <c r="P560" s="22"/>
      <c r="Q560" s="22"/>
      <c r="R560" s="20"/>
      <c r="S560" s="20"/>
      <c r="T560" s="22"/>
      <c r="U560" s="22"/>
      <c r="V560" s="22"/>
      <c r="W560" s="20"/>
      <c r="X560" s="20"/>
    </row>
    <row r="562" spans="2:24" ht="12.75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2:24" ht="12.75">
      <c r="B563" s="17"/>
      <c r="K563" s="22"/>
      <c r="R563" s="20"/>
      <c r="S563" s="20"/>
      <c r="W563" s="20"/>
      <c r="X563" s="20"/>
    </row>
    <row r="564" spans="2:24" ht="12.75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6" spans="2:8" ht="12.75">
      <c r="B566" s="17"/>
      <c r="H566" s="17"/>
    </row>
    <row r="567" spans="2:8" ht="12.75">
      <c r="B567" s="18"/>
      <c r="C567" s="18"/>
      <c r="D567" s="18"/>
      <c r="E567" s="18"/>
      <c r="H567" s="18"/>
    </row>
    <row r="568" ht="12.75">
      <c r="E568" s="17"/>
    </row>
    <row r="569" spans="5:7" ht="12.75">
      <c r="E569" s="18"/>
      <c r="F569" s="18"/>
      <c r="G569" s="18"/>
    </row>
    <row r="570" spans="2:24" ht="12.75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3:22" ht="12.75">
      <c r="C571" s="17"/>
      <c r="D571" s="17"/>
      <c r="H571" s="17"/>
      <c r="K571" s="17"/>
      <c r="P571" s="20"/>
      <c r="Q571" s="17"/>
      <c r="U571" s="20"/>
      <c r="V571" s="17"/>
    </row>
    <row r="572" spans="2:23" ht="12.75">
      <c r="B572" s="17"/>
      <c r="C572" s="17"/>
      <c r="D572" s="18"/>
      <c r="E572" s="18"/>
      <c r="F572" s="21"/>
      <c r="G572" s="17"/>
      <c r="H572" s="18"/>
      <c r="I572" s="18"/>
      <c r="J572" s="18"/>
      <c r="K572" s="18"/>
      <c r="L572" s="18"/>
      <c r="M572" s="18"/>
      <c r="P572" s="18"/>
      <c r="Q572" s="18"/>
      <c r="R572" s="18"/>
      <c r="U572" s="18"/>
      <c r="V572" s="18"/>
      <c r="W572" s="18"/>
    </row>
    <row r="573" spans="4:23" ht="12.75">
      <c r="D573" s="17"/>
      <c r="F573" s="17"/>
      <c r="G573" s="17"/>
      <c r="H573" s="19"/>
      <c r="I573" s="19"/>
      <c r="K573" s="19"/>
      <c r="L573" s="19"/>
      <c r="N573" s="21"/>
      <c r="O573" s="21"/>
      <c r="P573" s="17"/>
      <c r="Q573" s="21"/>
      <c r="R573" s="21"/>
      <c r="S573" s="21"/>
      <c r="T573" s="21"/>
      <c r="U573" s="17"/>
      <c r="V573" s="21"/>
      <c r="W573" s="21"/>
    </row>
    <row r="574" spans="2:23" ht="12.75">
      <c r="B574" s="18"/>
      <c r="C574" s="18"/>
      <c r="D574" s="18"/>
      <c r="F574" s="18"/>
      <c r="G574" s="18"/>
      <c r="H574" s="18"/>
      <c r="I574" s="18"/>
      <c r="K574" s="18"/>
      <c r="L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2:23" ht="12.75">
      <c r="B575" s="20"/>
      <c r="C575" s="20"/>
      <c r="D575" s="19"/>
      <c r="F575" s="20"/>
      <c r="G575" s="20"/>
      <c r="H575" s="20"/>
      <c r="I575" s="20"/>
      <c r="K575" s="20"/>
      <c r="L575" s="20"/>
      <c r="N575" s="22"/>
      <c r="O575" s="22"/>
      <c r="P575" s="22"/>
      <c r="Q575" s="20"/>
      <c r="R575" s="20"/>
      <c r="S575" s="22"/>
      <c r="T575" s="22"/>
      <c r="U575" s="22"/>
      <c r="V575" s="20"/>
      <c r="W575" s="20"/>
    </row>
    <row r="576" spans="2:23" ht="12.75">
      <c r="B576" s="20"/>
      <c r="C576" s="20"/>
      <c r="D576" s="19"/>
      <c r="F576" s="20"/>
      <c r="G576" s="20"/>
      <c r="H576" s="20"/>
      <c r="I576" s="20"/>
      <c r="K576" s="20"/>
      <c r="L576" s="20"/>
      <c r="N576" s="22"/>
      <c r="O576" s="22"/>
      <c r="P576" s="22"/>
      <c r="Q576" s="20"/>
      <c r="R576" s="20"/>
      <c r="S576" s="22"/>
      <c r="T576" s="22"/>
      <c r="U576" s="22"/>
      <c r="V576" s="20"/>
      <c r="W576" s="20"/>
    </row>
    <row r="577" spans="2:23" ht="12.75">
      <c r="B577" s="20"/>
      <c r="C577" s="20"/>
      <c r="D577" s="19"/>
      <c r="F577" s="20"/>
      <c r="G577" s="20"/>
      <c r="H577" s="20"/>
      <c r="I577" s="20"/>
      <c r="K577" s="20"/>
      <c r="L577" s="20"/>
      <c r="N577" s="22"/>
      <c r="O577" s="22"/>
      <c r="P577" s="22"/>
      <c r="Q577" s="20"/>
      <c r="R577" s="20"/>
      <c r="S577" s="22"/>
      <c r="T577" s="22"/>
      <c r="U577" s="22"/>
      <c r="V577" s="20"/>
      <c r="W577" s="20"/>
    </row>
    <row r="578" spans="2:23" ht="12.75">
      <c r="B578" s="20"/>
      <c r="C578" s="20"/>
      <c r="D578" s="19"/>
      <c r="F578" s="20"/>
      <c r="G578" s="20"/>
      <c r="H578" s="20"/>
      <c r="I578" s="20"/>
      <c r="K578" s="20"/>
      <c r="L578" s="20"/>
      <c r="N578" s="22"/>
      <c r="O578" s="22"/>
      <c r="P578" s="22"/>
      <c r="Q578" s="20"/>
      <c r="R578" s="20"/>
      <c r="S578" s="22"/>
      <c r="T578" s="22"/>
      <c r="U578" s="22"/>
      <c r="V578" s="20"/>
      <c r="W578" s="20"/>
    </row>
    <row r="579" spans="2:23" ht="12.75">
      <c r="B579" s="20"/>
      <c r="C579" s="20"/>
      <c r="D579" s="19"/>
      <c r="F579" s="20"/>
      <c r="G579" s="20"/>
      <c r="H579" s="20"/>
      <c r="I579" s="20"/>
      <c r="K579" s="20"/>
      <c r="L579" s="20"/>
      <c r="N579" s="22"/>
      <c r="O579" s="22"/>
      <c r="P579" s="22"/>
      <c r="Q579" s="20"/>
      <c r="R579" s="20"/>
      <c r="S579" s="22"/>
      <c r="T579" s="22"/>
      <c r="U579" s="22"/>
      <c r="V579" s="20"/>
      <c r="W579" s="20"/>
    </row>
    <row r="580" spans="2:23" ht="12.75">
      <c r="B580" s="20"/>
      <c r="C580" s="20"/>
      <c r="D580" s="19"/>
      <c r="F580" s="20"/>
      <c r="G580" s="20"/>
      <c r="H580" s="20"/>
      <c r="I580" s="20"/>
      <c r="K580" s="20"/>
      <c r="L580" s="20"/>
      <c r="N580" s="22"/>
      <c r="O580" s="22"/>
      <c r="P580" s="22"/>
      <c r="Q580" s="20"/>
      <c r="R580" s="20"/>
      <c r="S580" s="22"/>
      <c r="T580" s="22"/>
      <c r="U580" s="22"/>
      <c r="V580" s="20"/>
      <c r="W580" s="20"/>
    </row>
    <row r="581" spans="2:23" ht="12.75">
      <c r="B581" s="20"/>
      <c r="C581" s="20"/>
      <c r="D581" s="19"/>
      <c r="F581" s="20"/>
      <c r="G581" s="20"/>
      <c r="H581" s="20"/>
      <c r="I581" s="20"/>
      <c r="K581" s="20"/>
      <c r="L581" s="20"/>
      <c r="N581" s="22"/>
      <c r="O581" s="22"/>
      <c r="P581" s="22"/>
      <c r="Q581" s="20"/>
      <c r="R581" s="20"/>
      <c r="S581" s="22"/>
      <c r="T581" s="22"/>
      <c r="U581" s="22"/>
      <c r="V581" s="20"/>
      <c r="W581" s="20"/>
    </row>
    <row r="582" spans="2:23" ht="12.75">
      <c r="B582" s="20"/>
      <c r="C582" s="20"/>
      <c r="D582" s="19"/>
      <c r="F582" s="20"/>
      <c r="G582" s="20"/>
      <c r="H582" s="20"/>
      <c r="I582" s="20"/>
      <c r="K582" s="20"/>
      <c r="L582" s="20"/>
      <c r="N582" s="22"/>
      <c r="O582" s="22"/>
      <c r="P582" s="22"/>
      <c r="Q582" s="20"/>
      <c r="R582" s="20"/>
      <c r="S582" s="22"/>
      <c r="T582" s="22"/>
      <c r="U582" s="22"/>
      <c r="V582" s="20"/>
      <c r="W582" s="20"/>
    </row>
    <row r="583" spans="2:23" ht="12.75">
      <c r="B583" s="20"/>
      <c r="C583" s="20"/>
      <c r="D583" s="20"/>
      <c r="F583" s="20"/>
      <c r="G583" s="20"/>
      <c r="H583" s="20"/>
      <c r="I583" s="20"/>
      <c r="K583" s="20"/>
      <c r="L583" s="20"/>
      <c r="N583" s="22"/>
      <c r="O583" s="22"/>
      <c r="P583" s="22"/>
      <c r="Q583" s="20"/>
      <c r="R583" s="20"/>
      <c r="S583" s="22"/>
      <c r="T583" s="22"/>
      <c r="U583" s="22"/>
      <c r="V583" s="20"/>
      <c r="W583" s="20"/>
    </row>
    <row r="585" spans="2:23" ht="12.75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2:23" ht="12.75">
      <c r="B586" s="17"/>
      <c r="K586" s="22"/>
      <c r="Q586" s="20"/>
      <c r="R586" s="20"/>
      <c r="V586" s="20"/>
      <c r="W586" s="20"/>
    </row>
    <row r="587" spans="2:23" ht="12.75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ht="12.75">
      <c r="A588" s="17"/>
    </row>
    <row r="589" spans="2:8" ht="12.75">
      <c r="B589" s="17"/>
      <c r="H589" s="17"/>
    </row>
    <row r="590" spans="2:17" ht="12.75">
      <c r="B590" s="18"/>
      <c r="C590" s="18"/>
      <c r="D590" s="18"/>
      <c r="E590" s="18"/>
      <c r="H590" s="18"/>
      <c r="Q590" s="17"/>
    </row>
    <row r="592" spans="2:23" ht="12.75"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4:12" ht="12.75">
      <c r="D593" s="17"/>
      <c r="F593" s="17"/>
      <c r="L593" s="17"/>
    </row>
    <row r="594" spans="3:15" ht="12.75">
      <c r="C594" s="17"/>
      <c r="D594" s="17"/>
      <c r="E594" s="17"/>
      <c r="F594" s="17"/>
      <c r="L594" s="18"/>
      <c r="M594" s="18"/>
      <c r="N594" s="18"/>
      <c r="O594" s="18"/>
    </row>
    <row r="595" spans="2:16" ht="12.75">
      <c r="B595" s="17"/>
      <c r="C595" s="17"/>
      <c r="J595" s="20"/>
      <c r="K595" s="17"/>
      <c r="O595" s="20"/>
      <c r="P595" s="17"/>
    </row>
    <row r="596" spans="4:17" ht="12.75">
      <c r="D596" s="17"/>
      <c r="E596" s="17"/>
      <c r="F596" s="19"/>
      <c r="G596" s="19"/>
      <c r="H596" s="21"/>
      <c r="I596" s="21"/>
      <c r="J596" s="17"/>
      <c r="K596" s="21"/>
      <c r="L596" s="21"/>
      <c r="M596" s="21"/>
      <c r="N596" s="21"/>
      <c r="O596" s="17"/>
      <c r="P596" s="21"/>
      <c r="Q596" s="21"/>
    </row>
    <row r="597" spans="2:17" ht="12.75"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2:17" ht="12.75">
      <c r="B598" s="20"/>
      <c r="C598" s="20"/>
      <c r="D598" s="20"/>
      <c r="E598" s="20"/>
      <c r="F598" s="20"/>
      <c r="G598" s="20"/>
      <c r="H598" s="22"/>
      <c r="I598" s="22"/>
      <c r="J598" s="22"/>
      <c r="K598" s="20"/>
      <c r="L598" s="20"/>
      <c r="M598" s="22"/>
      <c r="N598" s="22"/>
      <c r="O598" s="22"/>
      <c r="P598" s="20"/>
      <c r="Q598" s="20"/>
    </row>
    <row r="599" spans="2:17" ht="12.75">
      <c r="B599" s="20"/>
      <c r="C599" s="20"/>
      <c r="D599" s="20"/>
      <c r="E599" s="20"/>
      <c r="F599" s="20"/>
      <c r="G599" s="20"/>
      <c r="H599" s="22"/>
      <c r="I599" s="22"/>
      <c r="J599" s="22"/>
      <c r="K599" s="20"/>
      <c r="L599" s="20"/>
      <c r="M599" s="22"/>
      <c r="N599" s="22"/>
      <c r="O599" s="22"/>
      <c r="P599" s="20"/>
      <c r="Q599" s="20"/>
    </row>
    <row r="600" spans="2:17" ht="12.75">
      <c r="B600" s="20"/>
      <c r="C600" s="20"/>
      <c r="D600" s="20"/>
      <c r="E600" s="20"/>
      <c r="F600" s="20"/>
      <c r="G600" s="20"/>
      <c r="H600" s="22"/>
      <c r="I600" s="22"/>
      <c r="J600" s="22"/>
      <c r="K600" s="20"/>
      <c r="L600" s="20"/>
      <c r="M600" s="22"/>
      <c r="N600" s="22"/>
      <c r="O600" s="22"/>
      <c r="P600" s="20"/>
      <c r="Q600" s="20"/>
    </row>
    <row r="601" spans="2:17" ht="12.75">
      <c r="B601" s="20"/>
      <c r="C601" s="20"/>
      <c r="D601" s="20"/>
      <c r="E601" s="20"/>
      <c r="F601" s="20"/>
      <c r="G601" s="20"/>
      <c r="H601" s="22"/>
      <c r="I601" s="22"/>
      <c r="J601" s="22"/>
      <c r="K601" s="20"/>
      <c r="L601" s="20"/>
      <c r="M601" s="22"/>
      <c r="N601" s="22"/>
      <c r="O601" s="22"/>
      <c r="P601" s="20"/>
      <c r="Q601" s="20"/>
    </row>
    <row r="602" spans="2:17" ht="12.75">
      <c r="B602" s="20"/>
      <c r="C602" s="20"/>
      <c r="D602" s="20"/>
      <c r="E602" s="20"/>
      <c r="F602" s="20"/>
      <c r="G602" s="20"/>
      <c r="H602" s="22"/>
      <c r="I602" s="22"/>
      <c r="J602" s="22"/>
      <c r="K602" s="20"/>
      <c r="L602" s="20"/>
      <c r="M602" s="22"/>
      <c r="N602" s="22"/>
      <c r="O602" s="22"/>
      <c r="P602" s="20"/>
      <c r="Q602" s="20"/>
    </row>
    <row r="603" spans="2:17" ht="12.75">
      <c r="B603" s="20"/>
      <c r="C603" s="20"/>
      <c r="D603" s="20"/>
      <c r="E603" s="20"/>
      <c r="F603" s="20"/>
      <c r="G603" s="20"/>
      <c r="H603" s="22"/>
      <c r="I603" s="22"/>
      <c r="J603" s="22"/>
      <c r="K603" s="20"/>
      <c r="L603" s="20"/>
      <c r="M603" s="22"/>
      <c r="N603" s="22"/>
      <c r="O603" s="22"/>
      <c r="P603" s="20"/>
      <c r="Q603" s="20"/>
    </row>
    <row r="604" spans="2:17" ht="12.75">
      <c r="B604" s="20"/>
      <c r="C604" s="20"/>
      <c r="D604" s="20"/>
      <c r="E604" s="20"/>
      <c r="F604" s="20"/>
      <c r="G604" s="20"/>
      <c r="H604" s="22"/>
      <c r="I604" s="22"/>
      <c r="J604" s="22"/>
      <c r="K604" s="20"/>
      <c r="L604" s="20"/>
      <c r="M604" s="22"/>
      <c r="N604" s="22"/>
      <c r="O604" s="22"/>
      <c r="P604" s="20"/>
      <c r="Q604" s="20"/>
    </row>
    <row r="605" spans="2:17" ht="12.75">
      <c r="B605" s="20"/>
      <c r="C605" s="20"/>
      <c r="D605" s="20"/>
      <c r="E605" s="20"/>
      <c r="F605" s="20"/>
      <c r="G605" s="20"/>
      <c r="H605" s="22"/>
      <c r="I605" s="22"/>
      <c r="J605" s="22"/>
      <c r="K605" s="20"/>
      <c r="L605" s="20"/>
      <c r="M605" s="22"/>
      <c r="N605" s="22"/>
      <c r="O605" s="22"/>
      <c r="P605" s="20"/>
      <c r="Q605" s="20"/>
    </row>
    <row r="606" spans="2:17" ht="12.75">
      <c r="B606" s="20"/>
      <c r="C606" s="20"/>
      <c r="D606" s="20"/>
      <c r="E606" s="20"/>
      <c r="F606" s="20"/>
      <c r="G606" s="20"/>
      <c r="H606" s="22"/>
      <c r="I606" s="22"/>
      <c r="J606" s="22"/>
      <c r="K606" s="20"/>
      <c r="L606" s="20"/>
      <c r="M606" s="22"/>
      <c r="N606" s="22"/>
      <c r="O606" s="22"/>
      <c r="P606" s="20"/>
      <c r="Q606" s="20"/>
    </row>
    <row r="607" spans="2:17" ht="12.75"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2:17" ht="12.75"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2:17" ht="12.75">
      <c r="B609" s="17"/>
      <c r="K609" s="20"/>
      <c r="L609" s="20"/>
      <c r="P609" s="20"/>
      <c r="Q609" s="20"/>
    </row>
    <row r="610" spans="2:17" ht="12.75"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3" spans="2:8" ht="12.75">
      <c r="B613" s="17"/>
      <c r="H613" s="17"/>
    </row>
    <row r="614" spans="2:8" ht="12.75">
      <c r="B614" s="18"/>
      <c r="C614" s="18"/>
      <c r="D614" s="18"/>
      <c r="E614" s="18"/>
      <c r="F614" s="18"/>
      <c r="H614" s="18"/>
    </row>
    <row r="615" spans="2:8" ht="12.75">
      <c r="B615" s="17"/>
      <c r="H615" s="20"/>
    </row>
    <row r="617" spans="2:8" ht="12.75">
      <c r="B617" s="17"/>
      <c r="H617" s="20"/>
    </row>
    <row r="619" spans="2:8" ht="12.75">
      <c r="B619" s="17"/>
      <c r="E619" s="17"/>
      <c r="H619" s="20"/>
    </row>
    <row r="621" ht="12.75">
      <c r="B621" s="17"/>
    </row>
    <row r="622" spans="2:6" ht="12.75">
      <c r="B622" s="18"/>
      <c r="C622" s="18"/>
      <c r="D622" s="18"/>
      <c r="E622" s="18"/>
      <c r="F622" s="18"/>
    </row>
    <row r="623" spans="2:8" ht="12.75">
      <c r="B623" s="20"/>
      <c r="C623" s="17"/>
      <c r="F623" s="20"/>
      <c r="G623" s="22"/>
      <c r="H623" s="20"/>
    </row>
    <row r="624" ht="12.75">
      <c r="B624" s="17"/>
    </row>
    <row r="625" spans="2:8" ht="12.75">
      <c r="B625" s="20"/>
      <c r="C625" s="17"/>
      <c r="D625" s="17"/>
      <c r="F625" s="20"/>
      <c r="G625" s="22"/>
      <c r="H625" s="20"/>
    </row>
    <row r="627" ht="12.75">
      <c r="A627" s="17"/>
    </row>
    <row r="628" spans="2:8" ht="12.75">
      <c r="B628" s="17"/>
      <c r="H628" s="17"/>
    </row>
    <row r="629" spans="2:8" ht="12.75">
      <c r="B629" s="18"/>
      <c r="C629" s="18"/>
      <c r="D629" s="18"/>
      <c r="E629" s="18"/>
      <c r="F629" s="18"/>
      <c r="G629" s="18"/>
      <c r="H629" s="18"/>
    </row>
    <row r="630" spans="2:13" ht="12.75"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2:8" ht="12.75">
      <c r="B631" s="17"/>
      <c r="D631" s="17"/>
      <c r="F631" s="17"/>
      <c r="H631" s="17"/>
    </row>
    <row r="632" spans="2:6" ht="12.75">
      <c r="B632" s="17"/>
      <c r="F632" s="17"/>
    </row>
    <row r="633" spans="2:13" ht="12.75"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8:12" ht="12.75">
      <c r="H634" s="17"/>
      <c r="J634" s="17"/>
      <c r="K634" s="17"/>
      <c r="L634" s="17"/>
    </row>
    <row r="635" spans="3:11" ht="12.75">
      <c r="C635" s="21"/>
      <c r="D635" s="17"/>
      <c r="E635" s="17"/>
      <c r="F635" s="17"/>
      <c r="G635" s="21"/>
      <c r="H635" s="17"/>
      <c r="J635" s="17"/>
      <c r="K635" s="17"/>
    </row>
    <row r="636" spans="7:11" ht="12.75">
      <c r="G636" s="21"/>
      <c r="H636" s="17"/>
      <c r="J636" s="17"/>
      <c r="K636" s="17"/>
    </row>
    <row r="637" spans="2:13" ht="12.75"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2:12" ht="12.75">
      <c r="B638" s="17"/>
      <c r="C638" s="20"/>
      <c r="D638" s="20"/>
      <c r="E638" s="20"/>
      <c r="F638" s="20"/>
      <c r="G638" s="20"/>
      <c r="H638" s="20"/>
      <c r="J638" s="20"/>
      <c r="K638" s="20"/>
      <c r="L638" s="20"/>
    </row>
    <row r="639" spans="2:12" ht="12.75">
      <c r="B639" s="17"/>
      <c r="C639" s="20"/>
      <c r="D639" s="20"/>
      <c r="E639" s="20"/>
      <c r="F639" s="20"/>
      <c r="G639" s="20"/>
      <c r="H639" s="20"/>
      <c r="J639" s="20"/>
      <c r="K639" s="20"/>
      <c r="L639" s="20"/>
    </row>
    <row r="640" spans="2:12" ht="12.75">
      <c r="B640" s="17"/>
      <c r="C640" s="20"/>
      <c r="D640" s="20"/>
      <c r="E640" s="20"/>
      <c r="F640" s="20"/>
      <c r="G640" s="20"/>
      <c r="H640" s="20"/>
      <c r="J640" s="20"/>
      <c r="K640" s="20"/>
      <c r="L640" s="20"/>
    </row>
    <row r="641" spans="2:12" ht="12.75">
      <c r="B641" s="17"/>
      <c r="C641" s="20"/>
      <c r="D641" s="20"/>
      <c r="E641" s="20"/>
      <c r="F641" s="20"/>
      <c r="G641" s="20"/>
      <c r="H641" s="20"/>
      <c r="J641" s="20"/>
      <c r="K641" s="20"/>
      <c r="L641" s="20"/>
    </row>
    <row r="642" spans="2:12" ht="12.75">
      <c r="B642" s="17"/>
      <c r="C642" s="20"/>
      <c r="D642" s="20"/>
      <c r="E642" s="20"/>
      <c r="F642" s="20"/>
      <c r="G642" s="20"/>
      <c r="H642" s="20"/>
      <c r="J642" s="20"/>
      <c r="K642" s="20"/>
      <c r="L642" s="20"/>
    </row>
    <row r="643" spans="2:12" ht="12.75">
      <c r="B643" s="17"/>
      <c r="C643" s="20"/>
      <c r="D643" s="20"/>
      <c r="E643" s="20"/>
      <c r="F643" s="20"/>
      <c r="G643" s="20"/>
      <c r="H643" s="20"/>
      <c r="J643" s="20"/>
      <c r="K643" s="20"/>
      <c r="L643" s="20"/>
    </row>
    <row r="644" spans="2:12" ht="12.75">
      <c r="B644" s="17"/>
      <c r="C644" s="20"/>
      <c r="D644" s="20"/>
      <c r="E644" s="20"/>
      <c r="F644" s="20"/>
      <c r="G644" s="20"/>
      <c r="H644" s="20"/>
      <c r="J644" s="20"/>
      <c r="K644" s="20"/>
      <c r="L644" s="20"/>
    </row>
    <row r="645" spans="2:12" ht="12.75">
      <c r="B645" s="17"/>
      <c r="C645" s="20"/>
      <c r="D645" s="20"/>
      <c r="E645" s="20"/>
      <c r="F645" s="20"/>
      <c r="G645" s="20"/>
      <c r="H645" s="20"/>
      <c r="J645" s="20"/>
      <c r="K645" s="20"/>
      <c r="L645" s="20"/>
    </row>
    <row r="646" spans="2:12" ht="12.75">
      <c r="B646" s="17"/>
      <c r="C646" s="20"/>
      <c r="D646" s="20"/>
      <c r="E646" s="20"/>
      <c r="F646" s="20"/>
      <c r="G646" s="20"/>
      <c r="H646" s="20"/>
      <c r="J646" s="20"/>
      <c r="K646" s="20"/>
      <c r="L646" s="20"/>
    </row>
    <row r="648" spans="2:12" ht="12.75"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2:12" ht="12.75">
      <c r="B649" s="17"/>
      <c r="G649" s="20"/>
      <c r="L649" s="20"/>
    </row>
    <row r="650" spans="2:12" ht="12.75"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2" ht="12.75">
      <c r="B652" s="17"/>
    </row>
    <row r="653" spans="2:10" ht="12.75"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3:8" ht="12.75">
      <c r="C654" s="17"/>
      <c r="D654" s="17"/>
      <c r="E654" s="17"/>
      <c r="H654" s="17"/>
    </row>
    <row r="655" spans="2:10" ht="12.75">
      <c r="B655" s="17"/>
      <c r="C655" s="17"/>
      <c r="E655" s="17"/>
      <c r="F655" s="17"/>
      <c r="G655" s="17"/>
      <c r="H655" s="17"/>
      <c r="I655" s="17"/>
      <c r="J655" s="17"/>
    </row>
    <row r="656" spans="2:10" ht="12.75"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2:10" ht="12.75">
      <c r="B657" s="20"/>
      <c r="C657" s="20"/>
      <c r="D657" s="22"/>
      <c r="E657" s="20"/>
      <c r="G657" s="20"/>
      <c r="H657" s="20"/>
      <c r="J657" s="20"/>
    </row>
    <row r="658" spans="2:10" ht="12.75">
      <c r="B658" s="20"/>
      <c r="C658" s="20"/>
      <c r="D658" s="22"/>
      <c r="E658" s="20"/>
      <c r="G658" s="20"/>
      <c r="H658" s="20"/>
      <c r="J658" s="20"/>
    </row>
    <row r="660" spans="2:10" ht="12.75">
      <c r="B660" s="18"/>
      <c r="C660" s="18"/>
      <c r="D660" s="18"/>
      <c r="E660" s="18"/>
      <c r="F660" s="18"/>
      <c r="G660" s="18"/>
      <c r="H660" s="18"/>
      <c r="I660" s="18"/>
      <c r="J660" s="18"/>
    </row>
    <row r="661" ht="12.75">
      <c r="A661" s="17"/>
    </row>
    <row r="662" spans="2:8" ht="12.75">
      <c r="B662" s="17"/>
      <c r="H662" s="17"/>
    </row>
    <row r="663" spans="2:8" ht="12.75">
      <c r="B663" s="18"/>
      <c r="C663" s="18"/>
      <c r="D663" s="18"/>
      <c r="E663" s="18"/>
      <c r="F663" s="18"/>
      <c r="G663" s="18"/>
      <c r="H663" s="18"/>
    </row>
    <row r="664" spans="2:10" ht="12.75"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2:11" ht="12.75">
      <c r="B665" s="17"/>
      <c r="C665" s="17"/>
      <c r="G665" s="21"/>
      <c r="K665" s="21"/>
    </row>
    <row r="666" spans="6:12" ht="12.75">
      <c r="F666" s="17"/>
      <c r="H666" s="17"/>
      <c r="J666" s="17"/>
      <c r="L666" s="17"/>
    </row>
    <row r="667" spans="2:10" ht="12.75"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2:12" ht="12.75">
      <c r="B668" s="17"/>
      <c r="C668" s="17"/>
      <c r="F668" s="20"/>
      <c r="H668" s="20"/>
      <c r="J668" s="20"/>
      <c r="L668" s="20"/>
    </row>
    <row r="669" spans="3:12" ht="12.75">
      <c r="C669" s="17"/>
      <c r="F669" s="20"/>
      <c r="H669" s="20"/>
      <c r="J669" s="20"/>
      <c r="L669" s="20"/>
    </row>
    <row r="670" spans="3:12" ht="12.75">
      <c r="C670" s="17"/>
      <c r="L670" s="17"/>
    </row>
    <row r="671" spans="2:12" ht="12.75">
      <c r="B671" s="17"/>
      <c r="C671" s="17"/>
      <c r="F671" s="20"/>
      <c r="H671" s="20"/>
      <c r="J671" s="20"/>
      <c r="L671" s="20"/>
    </row>
    <row r="672" spans="3:12" ht="12.75">
      <c r="C672" s="17"/>
      <c r="L672" s="17"/>
    </row>
    <row r="673" spans="3:12" ht="12.75">
      <c r="C673" s="17"/>
      <c r="F673" s="20"/>
      <c r="H673" s="20"/>
      <c r="J673" s="20"/>
      <c r="L673" s="20"/>
    </row>
    <row r="674" spans="3:12" ht="12.75">
      <c r="C674" s="17"/>
      <c r="L674" s="17"/>
    </row>
    <row r="675" spans="2:12" ht="12.75">
      <c r="B675" s="17"/>
      <c r="C675" s="17"/>
      <c r="F675" s="20"/>
      <c r="H675" s="20"/>
      <c r="J675" s="20"/>
      <c r="L675" s="20"/>
    </row>
    <row r="676" spans="3:5" ht="12.75">
      <c r="C676" s="17"/>
      <c r="E676" s="27"/>
    </row>
    <row r="677" spans="2:12" ht="12.75">
      <c r="B677" s="17"/>
      <c r="C677" s="17"/>
      <c r="F677" s="20"/>
      <c r="H677" s="20"/>
      <c r="J677" s="20"/>
      <c r="L677" s="20"/>
    </row>
    <row r="678" ht="12.75">
      <c r="C678" s="17"/>
    </row>
    <row r="679" spans="2:12" ht="12.75">
      <c r="B679" s="17"/>
      <c r="C679" s="17"/>
      <c r="F679" s="20"/>
      <c r="H679" s="20"/>
      <c r="J679" s="20"/>
      <c r="L679" s="20"/>
    </row>
    <row r="680" spans="2:12" ht="12.75">
      <c r="B680" s="17"/>
      <c r="C680" s="17"/>
      <c r="F680" s="20"/>
      <c r="H680" s="20"/>
      <c r="J680" s="20"/>
      <c r="L680" s="20"/>
    </row>
    <row r="681" spans="2:12" ht="12.75">
      <c r="B681" s="17"/>
      <c r="C681" s="17"/>
      <c r="F681" s="20"/>
      <c r="H681" s="20"/>
      <c r="J681" s="20"/>
      <c r="L681" s="20"/>
    </row>
    <row r="682" spans="2:12" ht="12.75">
      <c r="B682" s="17"/>
      <c r="C682" s="17"/>
      <c r="E682" s="17"/>
      <c r="F682" s="20"/>
      <c r="H682" s="20"/>
      <c r="J682" s="20"/>
      <c r="L682" s="20"/>
    </row>
    <row r="683" spans="2:12" ht="12.75">
      <c r="B683" s="17"/>
      <c r="C683" s="17"/>
      <c r="F683" s="20"/>
      <c r="H683" s="20"/>
      <c r="J683" s="20"/>
      <c r="L683" s="20"/>
    </row>
    <row r="684" spans="2:12" ht="12.75">
      <c r="B684" s="17"/>
      <c r="C684" s="17"/>
      <c r="E684" s="20"/>
      <c r="F684" s="20"/>
      <c r="H684" s="20"/>
      <c r="J684" s="20"/>
      <c r="L684" s="20"/>
    </row>
    <row r="685" spans="2:12" ht="12.75">
      <c r="B685" s="17"/>
      <c r="C685" s="17"/>
      <c r="F685" s="20"/>
      <c r="H685" s="20"/>
      <c r="J685" s="20"/>
      <c r="L685" s="20"/>
    </row>
    <row r="686" spans="2:12" ht="12.75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2:12" ht="12.75">
      <c r="B687" s="17"/>
      <c r="F687" s="20"/>
      <c r="H687" s="20"/>
      <c r="L687" s="20"/>
    </row>
    <row r="688" spans="2:12" ht="12.75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90" ht="12.75">
      <c r="B690" s="17"/>
    </row>
    <row r="691" spans="2:10" ht="12.75"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3:8" ht="12.75">
      <c r="C692" s="17"/>
      <c r="D692" s="17"/>
      <c r="E692" s="17"/>
      <c r="H692" s="17"/>
    </row>
    <row r="693" spans="2:10" ht="12.75">
      <c r="B693" s="17"/>
      <c r="C693" s="17"/>
      <c r="E693" s="17"/>
      <c r="F693" s="17"/>
      <c r="G693" s="17"/>
      <c r="H693" s="17"/>
      <c r="I693" s="17"/>
      <c r="J693" s="17"/>
    </row>
    <row r="694" spans="2:10" ht="12.75"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2:10" ht="12.75">
      <c r="B695" s="20"/>
      <c r="C695" s="20"/>
      <c r="D695" s="22"/>
      <c r="E695" s="20"/>
      <c r="G695" s="20"/>
      <c r="H695" s="20"/>
      <c r="J695" s="20"/>
    </row>
    <row r="696" spans="2:10" ht="12.75">
      <c r="B696" s="20"/>
      <c r="C696" s="20"/>
      <c r="D696" s="22"/>
      <c r="E696" s="20"/>
      <c r="G696" s="20"/>
      <c r="H696" s="20"/>
      <c r="J696" s="20"/>
    </row>
    <row r="697" spans="2:10" ht="12.75">
      <c r="B697" s="18"/>
      <c r="C697" s="18"/>
      <c r="D697" s="18"/>
      <c r="E697" s="18"/>
      <c r="F697" s="18"/>
      <c r="G697" s="18"/>
      <c r="H697" s="18"/>
      <c r="I697" s="18"/>
      <c r="J697" s="18"/>
    </row>
    <row r="699" ht="12.75">
      <c r="B699" s="17"/>
    </row>
    <row r="700" spans="2:7" ht="12.75">
      <c r="B700" s="18"/>
      <c r="C700" s="18"/>
      <c r="D700" s="18"/>
      <c r="E700" s="18"/>
      <c r="F700" s="18"/>
      <c r="G700" s="18"/>
    </row>
    <row r="701" spans="2:8" ht="12.75">
      <c r="B701" s="17"/>
      <c r="E701" s="17"/>
      <c r="H701" s="20"/>
    </row>
    <row r="703" ht="12.75">
      <c r="B703" s="17"/>
    </row>
    <row r="704" spans="2:6" ht="12.75">
      <c r="B704" s="18"/>
      <c r="C704" s="18"/>
      <c r="D704" s="18"/>
      <c r="E704" s="18"/>
      <c r="F704" s="18"/>
    </row>
    <row r="705" spans="2:8" ht="12.75">
      <c r="B705" s="20"/>
      <c r="C705" s="17"/>
      <c r="F705" s="20"/>
      <c r="G705" s="22"/>
      <c r="H705" s="20"/>
    </row>
    <row r="706" ht="12.75">
      <c r="B706" s="17"/>
    </row>
    <row r="707" spans="2:8" ht="12.75">
      <c r="B707" s="20"/>
      <c r="C707" s="17"/>
      <c r="F707" s="20"/>
      <c r="G707" s="22"/>
      <c r="H707" s="20"/>
    </row>
    <row r="709" ht="12.75">
      <c r="A709" s="17"/>
    </row>
    <row r="711" ht="12.75">
      <c r="D711" s="17"/>
    </row>
    <row r="712" ht="12.75">
      <c r="B712" s="17"/>
    </row>
    <row r="713" spans="2:11" ht="12.75">
      <c r="B713" s="18"/>
      <c r="C713" s="18"/>
      <c r="D713" s="18"/>
      <c r="E713" s="18"/>
      <c r="F713" s="18"/>
      <c r="G713" s="18"/>
      <c r="H713" s="18"/>
      <c r="I713" s="18"/>
      <c r="J713" s="18"/>
      <c r="K713" s="18"/>
    </row>
    <row r="714" ht="12.75">
      <c r="E714" s="17"/>
    </row>
    <row r="715" spans="5:8" ht="12.75">
      <c r="E715" s="18"/>
      <c r="F715" s="18"/>
      <c r="G715" s="18"/>
      <c r="H715" s="18"/>
    </row>
    <row r="716" spans="2:16" ht="12.75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2:10" ht="12.75">
      <c r="B717" s="17"/>
      <c r="C717" s="17"/>
      <c r="F717" s="17"/>
      <c r="J717" s="17"/>
    </row>
    <row r="718" spans="6:12" ht="12.75">
      <c r="F718" s="17"/>
      <c r="J718" s="18"/>
      <c r="K718" s="18"/>
      <c r="L718" s="18"/>
    </row>
    <row r="719" spans="6:14" ht="12.75">
      <c r="F719" s="17"/>
      <c r="H719" s="20"/>
      <c r="I719" s="17"/>
      <c r="M719" s="20"/>
      <c r="N719" s="17"/>
    </row>
    <row r="720" spans="8:15" ht="12.75">
      <c r="H720" s="21"/>
      <c r="J720" s="21"/>
      <c r="K720" s="17"/>
      <c r="L720" s="17"/>
      <c r="M720" s="17"/>
      <c r="O720" s="21"/>
    </row>
    <row r="721" spans="2:16" ht="12.75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2:15" ht="12.75">
      <c r="B722" s="17"/>
      <c r="C722" s="17"/>
      <c r="F722" s="17"/>
      <c r="H722" s="20"/>
      <c r="J722" s="20"/>
      <c r="M722" s="20"/>
      <c r="O722" s="20"/>
    </row>
    <row r="724" spans="2:15" ht="12.75">
      <c r="B724" s="17"/>
      <c r="C724" s="17"/>
      <c r="F724" s="17"/>
      <c r="H724" s="20"/>
      <c r="J724" s="20"/>
      <c r="M724" s="20"/>
      <c r="O724" s="20"/>
    </row>
    <row r="726" spans="2:3" ht="12.75">
      <c r="B726" s="17"/>
      <c r="C726" s="17"/>
    </row>
    <row r="727" spans="3:15" ht="12.75">
      <c r="C727" s="17"/>
      <c r="F727" s="17"/>
      <c r="H727" s="20"/>
      <c r="J727" s="20"/>
      <c r="M727" s="20"/>
      <c r="O727" s="20"/>
    </row>
    <row r="729" spans="3:15" ht="12.75">
      <c r="C729" s="17"/>
      <c r="F729" s="17"/>
      <c r="H729" s="20"/>
      <c r="J729" s="20"/>
      <c r="M729" s="20"/>
      <c r="O729" s="20"/>
    </row>
    <row r="731" spans="2:3" ht="12.75">
      <c r="B731" s="17"/>
      <c r="C731" s="17"/>
    </row>
    <row r="732" spans="3:15" ht="12.75">
      <c r="C732" s="17"/>
      <c r="F732" s="17"/>
      <c r="H732" s="20"/>
      <c r="J732" s="20"/>
      <c r="M732" s="20"/>
      <c r="O732" s="20"/>
    </row>
    <row r="734" spans="3:15" ht="12.75">
      <c r="C734" s="17"/>
      <c r="F734" s="17"/>
      <c r="H734" s="20"/>
      <c r="J734" s="20"/>
      <c r="M734" s="20"/>
      <c r="O734" s="20"/>
    </row>
    <row r="736" spans="2:3" ht="12.75">
      <c r="B736" s="17"/>
      <c r="C736" s="17"/>
    </row>
    <row r="737" spans="3:15" ht="12.75">
      <c r="C737" s="17"/>
      <c r="F737" s="17"/>
      <c r="H737" s="20"/>
      <c r="J737" s="20"/>
      <c r="M737" s="20"/>
      <c r="O737" s="20"/>
    </row>
    <row r="739" spans="3:15" ht="12.75">
      <c r="C739" s="17"/>
      <c r="F739" s="17"/>
      <c r="H739" s="20"/>
      <c r="J739" s="20"/>
      <c r="M739" s="20"/>
      <c r="O739" s="20"/>
    </row>
    <row r="740" spans="2:3" ht="12.75">
      <c r="B740" s="17"/>
      <c r="C740" s="17"/>
    </row>
    <row r="741" spans="3:13" ht="12.75">
      <c r="C741" s="17"/>
      <c r="H741" s="20"/>
      <c r="M741" s="20"/>
    </row>
    <row r="742" spans="2:16" ht="12.75"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3:15" ht="12.75">
      <c r="C743" s="17"/>
      <c r="H743" s="20"/>
      <c r="J743" s="20"/>
      <c r="M743" s="20"/>
      <c r="N743" s="17"/>
      <c r="O743" s="20"/>
    </row>
    <row r="744" spans="2:16" ht="12.75"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7" spans="4:7" ht="12.75">
      <c r="D747" s="17"/>
      <c r="G747" s="20"/>
    </row>
    <row r="748" spans="4:7" ht="12.75">
      <c r="D748" s="18"/>
      <c r="E748" s="18"/>
      <c r="F748" s="18"/>
      <c r="G748" s="18"/>
    </row>
    <row r="749" ht="12.75">
      <c r="A749" s="17"/>
    </row>
    <row r="774" spans="1:15" ht="12.75">
      <c r="A774" s="6"/>
      <c r="K774" s="6"/>
      <c r="L774" s="6"/>
      <c r="M774" s="6"/>
      <c r="N774" s="6"/>
      <c r="O774" s="6"/>
    </row>
    <row r="775" spans="1:15" ht="12.75">
      <c r="A775" s="6"/>
      <c r="B775" s="8"/>
      <c r="C775" s="12"/>
      <c r="D775" s="12"/>
      <c r="E775" s="12"/>
      <c r="F775" s="12"/>
      <c r="G775" s="12"/>
      <c r="H775" s="15"/>
      <c r="I775" s="12"/>
      <c r="J775" s="12"/>
      <c r="K775" s="6"/>
      <c r="L775" s="15"/>
      <c r="M775" s="12"/>
      <c r="N775" s="12"/>
      <c r="O775" s="6"/>
    </row>
    <row r="776" spans="2:10" ht="12.75">
      <c r="B776" s="17"/>
      <c r="J776" s="17"/>
    </row>
    <row r="777" spans="2:17" ht="12.75">
      <c r="B777" s="18"/>
      <c r="C777" s="18"/>
      <c r="D777" s="18"/>
      <c r="E777" s="18"/>
      <c r="J777" s="18"/>
      <c r="Q777" s="17"/>
    </row>
    <row r="779" spans="2:17" ht="12.75"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4:12" ht="12.75">
      <c r="D780" s="17"/>
      <c r="F780" s="17"/>
      <c r="L780" s="17"/>
    </row>
    <row r="781" spans="3:15" ht="12.75">
      <c r="C781" s="17"/>
      <c r="D781" s="24"/>
      <c r="E781" s="17"/>
      <c r="F781" s="17"/>
      <c r="L781" s="18"/>
      <c r="M781" s="18"/>
      <c r="N781" s="18"/>
      <c r="O781" s="18"/>
    </row>
    <row r="782" spans="2:16" ht="12.75">
      <c r="B782" s="17"/>
      <c r="C782" s="17"/>
      <c r="J782" s="20"/>
      <c r="K782" s="17"/>
      <c r="O782" s="20"/>
      <c r="P782" s="17"/>
    </row>
    <row r="783" spans="4:17" ht="12.75">
      <c r="D783" s="17"/>
      <c r="E783" s="17"/>
      <c r="F783" s="19"/>
      <c r="G783" s="19"/>
      <c r="H783" s="21"/>
      <c r="I783" s="21"/>
      <c r="J783" s="17"/>
      <c r="K783" s="21"/>
      <c r="L783" s="21"/>
      <c r="M783" s="21"/>
      <c r="N783" s="21"/>
      <c r="O783" s="17"/>
      <c r="P783" s="21"/>
      <c r="Q783" s="21"/>
    </row>
    <row r="784" spans="2:17" ht="12.75"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2.75">
      <c r="A785" s="25"/>
      <c r="B785" s="20"/>
      <c r="C785" s="20"/>
      <c r="D785" s="26"/>
      <c r="E785" s="26"/>
      <c r="F785" s="20"/>
      <c r="G785" s="20"/>
      <c r="H785" s="22"/>
      <c r="I785" s="22"/>
      <c r="J785" s="22"/>
      <c r="K785" s="20"/>
      <c r="L785" s="20"/>
      <c r="M785" s="22"/>
      <c r="N785" s="22"/>
      <c r="O785" s="22"/>
      <c r="P785" s="20"/>
      <c r="Q785" s="20"/>
    </row>
    <row r="786" spans="1:17" ht="12.75">
      <c r="A786" s="25"/>
      <c r="B786" s="20"/>
      <c r="C786" s="20"/>
      <c r="D786" s="26"/>
      <c r="E786" s="26"/>
      <c r="F786" s="20"/>
      <c r="G786" s="20"/>
      <c r="H786" s="22"/>
      <c r="I786" s="22"/>
      <c r="J786" s="22"/>
      <c r="K786" s="20"/>
      <c r="L786" s="20"/>
      <c r="M786" s="22"/>
      <c r="N786" s="22"/>
      <c r="O786" s="22"/>
      <c r="P786" s="20"/>
      <c r="Q786" s="20"/>
    </row>
    <row r="787" spans="1:17" ht="12.75">
      <c r="A787" s="25"/>
      <c r="B787" s="20"/>
      <c r="C787" s="20"/>
      <c r="D787" s="26"/>
      <c r="E787" s="26"/>
      <c r="F787" s="20"/>
      <c r="G787" s="20"/>
      <c r="H787" s="22"/>
      <c r="I787" s="22"/>
      <c r="J787" s="22"/>
      <c r="K787" s="20"/>
      <c r="L787" s="20"/>
      <c r="M787" s="22"/>
      <c r="N787" s="22"/>
      <c r="O787" s="22"/>
      <c r="P787" s="20"/>
      <c r="Q787" s="20"/>
    </row>
    <row r="788" spans="1:17" ht="12.75">
      <c r="A788" s="25"/>
      <c r="B788" s="20"/>
      <c r="C788" s="20"/>
      <c r="D788" s="26"/>
      <c r="E788" s="26"/>
      <c r="F788" s="20"/>
      <c r="G788" s="20"/>
      <c r="H788" s="22"/>
      <c r="I788" s="22"/>
      <c r="J788" s="22"/>
      <c r="K788" s="20"/>
      <c r="L788" s="20"/>
      <c r="M788" s="22"/>
      <c r="N788" s="22"/>
      <c r="O788" s="22"/>
      <c r="P788" s="20"/>
      <c r="Q788" s="20"/>
    </row>
    <row r="789" spans="1:17" ht="12.75">
      <c r="A789" s="25"/>
      <c r="B789" s="20"/>
      <c r="C789" s="20"/>
      <c r="D789" s="26"/>
      <c r="E789" s="26"/>
      <c r="F789" s="20"/>
      <c r="G789" s="20"/>
      <c r="H789" s="22"/>
      <c r="I789" s="22"/>
      <c r="J789" s="22"/>
      <c r="K789" s="20"/>
      <c r="L789" s="20"/>
      <c r="M789" s="22"/>
      <c r="N789" s="22"/>
      <c r="O789" s="22"/>
      <c r="P789" s="20"/>
      <c r="Q789" s="20"/>
    </row>
    <row r="790" spans="1:17" ht="12.75">
      <c r="A790" s="25"/>
      <c r="B790" s="20"/>
      <c r="C790" s="20"/>
      <c r="D790" s="26"/>
      <c r="E790" s="26"/>
      <c r="F790" s="20"/>
      <c r="G790" s="20"/>
      <c r="H790" s="22"/>
      <c r="I790" s="22"/>
      <c r="J790" s="22"/>
      <c r="K790" s="20"/>
      <c r="L790" s="20"/>
      <c r="M790" s="22"/>
      <c r="N790" s="22"/>
      <c r="O790" s="22"/>
      <c r="P790" s="20"/>
      <c r="Q790" s="20"/>
    </row>
    <row r="791" spans="1:17" ht="12.75">
      <c r="A791" s="25"/>
      <c r="B791" s="20"/>
      <c r="C791" s="20"/>
      <c r="D791" s="26"/>
      <c r="E791" s="26"/>
      <c r="F791" s="20"/>
      <c r="G791" s="20"/>
      <c r="H791" s="22"/>
      <c r="I791" s="22"/>
      <c r="J791" s="22"/>
      <c r="K791" s="20"/>
      <c r="L791" s="20"/>
      <c r="M791" s="22"/>
      <c r="N791" s="22"/>
      <c r="O791" s="22"/>
      <c r="P791" s="20"/>
      <c r="Q791" s="20"/>
    </row>
    <row r="792" spans="1:17" ht="12.75">
      <c r="A792" s="25"/>
      <c r="B792" s="20"/>
      <c r="C792" s="20"/>
      <c r="D792" s="26"/>
      <c r="E792" s="26"/>
      <c r="F792" s="20"/>
      <c r="G792" s="20"/>
      <c r="H792" s="22"/>
      <c r="I792" s="22"/>
      <c r="J792" s="22"/>
      <c r="K792" s="20"/>
      <c r="L792" s="20"/>
      <c r="M792" s="22"/>
      <c r="N792" s="22"/>
      <c r="O792" s="22"/>
      <c r="P792" s="20"/>
      <c r="Q792" s="20"/>
    </row>
    <row r="793" spans="1:17" ht="12.75">
      <c r="A793" s="25"/>
      <c r="B793" s="20"/>
      <c r="C793" s="20"/>
      <c r="D793" s="26"/>
      <c r="E793" s="26"/>
      <c r="F793" s="20"/>
      <c r="G793" s="20"/>
      <c r="H793" s="22"/>
      <c r="I793" s="22"/>
      <c r="J793" s="22"/>
      <c r="K793" s="20"/>
      <c r="L793" s="20"/>
      <c r="M793" s="22"/>
      <c r="N793" s="22"/>
      <c r="O793" s="22"/>
      <c r="P793" s="20"/>
      <c r="Q793" s="20"/>
    </row>
    <row r="794" spans="2:17" ht="12.75"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2:17" ht="12.75"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2:17" ht="12.75">
      <c r="B796" s="17"/>
      <c r="K796" s="20"/>
      <c r="L796" s="20"/>
      <c r="P796" s="20"/>
      <c r="Q796" s="20"/>
    </row>
    <row r="797" spans="2:17" ht="12.75"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5" ht="12.75">
      <c r="A798" s="6"/>
      <c r="B798" s="8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2.75">
      <c r="A799" s="6"/>
      <c r="B799" s="8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2.75">
      <c r="A800" s="8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2.75">
      <c r="A801" s="6"/>
      <c r="B801" s="8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2.75">
      <c r="A802" s="6"/>
      <c r="B802" s="9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2.75">
      <c r="A803" s="8"/>
      <c r="B803" s="12"/>
      <c r="C803" s="8"/>
      <c r="D803" s="8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2.75">
      <c r="A805" s="6"/>
      <c r="B805" s="8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2.75">
      <c r="A806" s="6"/>
      <c r="B806" s="9"/>
      <c r="C806" s="9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2.75">
      <c r="A807" s="6"/>
      <c r="B807" s="6"/>
      <c r="C807" s="8"/>
      <c r="D807" s="8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2.75">
      <c r="A808" s="6"/>
      <c r="B808" s="6"/>
      <c r="C808" s="9"/>
      <c r="D808" s="6"/>
      <c r="E808" s="9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2.75">
      <c r="A809" s="6"/>
      <c r="B809" s="8"/>
      <c r="C809" s="12"/>
      <c r="D809" s="12"/>
      <c r="E809" s="12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2.75">
      <c r="A811" s="6"/>
      <c r="B811" s="8"/>
      <c r="C811" s="12"/>
      <c r="D811" s="6"/>
      <c r="E811" s="12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2.75">
      <c r="A813" s="6"/>
      <c r="B813" s="8"/>
      <c r="C813" s="12"/>
      <c r="D813" s="6"/>
      <c r="E813" s="12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2.75">
      <c r="A815" s="6"/>
      <c r="B815" s="8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2.75">
      <c r="A816" s="6"/>
      <c r="B816" s="9"/>
      <c r="C816" s="9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2.75">
      <c r="A817" s="6"/>
      <c r="B817" s="6"/>
      <c r="C817" s="8"/>
      <c r="D817" s="6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2.75">
      <c r="A818" s="6"/>
      <c r="B818" s="6"/>
      <c r="C818" s="9"/>
      <c r="D818" s="6"/>
      <c r="E818" s="9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2.75">
      <c r="A819" s="6"/>
      <c r="B819" s="8"/>
      <c r="C819" s="12"/>
      <c r="D819" s="6"/>
      <c r="E819" s="12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2.75">
      <c r="A821" s="6"/>
      <c r="B821" s="8"/>
      <c r="C821" s="12"/>
      <c r="D821" s="6"/>
      <c r="E821" s="12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2.75">
      <c r="A823" s="6"/>
      <c r="B823" s="8"/>
      <c r="C823" s="12"/>
      <c r="D823" s="6"/>
      <c r="E823" s="12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2.75">
      <c r="A825" s="6"/>
      <c r="B825" s="8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2.75">
      <c r="A826" s="6"/>
      <c r="B826" s="9"/>
      <c r="C826" s="9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2.75">
      <c r="A827" s="6"/>
      <c r="B827" s="6"/>
      <c r="C827" s="8"/>
      <c r="D827" s="6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2.75">
      <c r="A828" s="6"/>
      <c r="B828" s="6"/>
      <c r="C828" s="9"/>
      <c r="D828" s="6"/>
      <c r="E828" s="9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2.75">
      <c r="A829" s="6"/>
      <c r="B829" s="8"/>
      <c r="C829" s="12"/>
      <c r="D829" s="6"/>
      <c r="E829" s="12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2.75">
      <c r="A831" s="6"/>
      <c r="B831" s="8"/>
      <c r="C831" s="12"/>
      <c r="D831" s="6"/>
      <c r="E831" s="12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2.75">
      <c r="A833" s="6"/>
      <c r="B833" s="8"/>
      <c r="C833" s="12"/>
      <c r="D833" s="6"/>
      <c r="E833" s="12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2.75">
      <c r="A835" s="6"/>
      <c r="B835" s="8"/>
      <c r="C835" s="12"/>
      <c r="D835" s="6"/>
      <c r="E835" s="12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2.75">
      <c r="A837" s="6"/>
      <c r="B837" s="8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2.75">
      <c r="A838" s="6"/>
      <c r="B838" s="9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2.75">
      <c r="A839" s="6"/>
      <c r="B839" s="6"/>
      <c r="C839" s="8"/>
      <c r="D839" s="6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2.75">
      <c r="A840" s="6"/>
      <c r="B840" s="6"/>
      <c r="C840" s="9"/>
      <c r="D840" s="6"/>
      <c r="E840" s="9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2.75">
      <c r="A841" s="6"/>
      <c r="B841" s="8"/>
      <c r="C841" s="12"/>
      <c r="D841" s="6"/>
      <c r="E841" s="12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2.75">
      <c r="A842" s="6"/>
      <c r="B842" s="8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2.75">
      <c r="A843" s="6"/>
      <c r="B843" s="8"/>
      <c r="C843" s="12"/>
      <c r="D843" s="6"/>
      <c r="E843" s="12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2.75">
      <c r="A845" s="6"/>
      <c r="B845" s="8"/>
      <c r="C845" s="12"/>
      <c r="D845" s="6"/>
      <c r="E845" s="12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2.75">
      <c r="A847" s="6"/>
      <c r="B847" s="8"/>
      <c r="C847" s="6"/>
      <c r="D847" s="6"/>
      <c r="E847" s="13"/>
      <c r="F847" s="6"/>
      <c r="G847" s="6"/>
      <c r="H847" s="8"/>
      <c r="I847" s="6"/>
      <c r="J847" s="6"/>
      <c r="K847" s="6"/>
      <c r="L847" s="6"/>
      <c r="M847" s="6"/>
      <c r="N847" s="6"/>
      <c r="O847" s="6"/>
    </row>
    <row r="848" spans="1:15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2.75">
      <c r="A849" s="6"/>
      <c r="B849" s="8"/>
      <c r="C849" s="6"/>
      <c r="D849" s="6"/>
      <c r="E849" s="13"/>
      <c r="F849" s="6"/>
      <c r="G849" s="6"/>
      <c r="H849" s="8"/>
      <c r="I849" s="6"/>
      <c r="J849" s="6"/>
      <c r="K849" s="6"/>
      <c r="L849" s="6"/>
      <c r="M849" s="6"/>
      <c r="N849" s="6"/>
      <c r="O849" s="6"/>
    </row>
    <row r="850" spans="1:15" ht="12.75">
      <c r="A850" s="8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2.75">
      <c r="A851" s="6"/>
      <c r="B851" s="8"/>
      <c r="C851" s="6"/>
      <c r="D851" s="6"/>
      <c r="E851" s="6"/>
      <c r="F851" s="6"/>
      <c r="G851" s="6"/>
      <c r="H851" s="8"/>
      <c r="I851" s="6"/>
      <c r="J851" s="6"/>
      <c r="K851" s="6"/>
      <c r="L851" s="6"/>
      <c r="M851" s="6"/>
      <c r="N851" s="6"/>
      <c r="O851" s="6"/>
    </row>
    <row r="852" spans="1:15" ht="12.75">
      <c r="A852" s="6"/>
      <c r="B852" s="9"/>
      <c r="C852" s="9"/>
      <c r="D852" s="9"/>
      <c r="E852" s="9"/>
      <c r="F852" s="9"/>
      <c r="G852" s="6"/>
      <c r="H852" s="9"/>
      <c r="I852" s="6"/>
      <c r="J852" s="6"/>
      <c r="K852" s="6"/>
      <c r="L852" s="6"/>
      <c r="M852" s="6"/>
      <c r="N852" s="6"/>
      <c r="O852" s="6"/>
    </row>
    <row r="853" spans="1:15" ht="12.75">
      <c r="A853" s="6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6"/>
    </row>
    <row r="854" spans="1:15" ht="12.75">
      <c r="A854" s="6"/>
      <c r="B854" s="6"/>
      <c r="C854" s="6"/>
      <c r="D854" s="6"/>
      <c r="E854" s="6"/>
      <c r="F854" s="6"/>
      <c r="G854" s="6"/>
      <c r="H854" s="6"/>
      <c r="I854" s="6"/>
      <c r="J854" s="8"/>
      <c r="K854" s="6"/>
      <c r="L854" s="6"/>
      <c r="M854" s="6"/>
      <c r="N854" s="6"/>
      <c r="O854" s="6"/>
    </row>
    <row r="855" spans="1:15" ht="12.75">
      <c r="A855" s="6"/>
      <c r="B855" s="6"/>
      <c r="C855" s="6"/>
      <c r="D855" s="8"/>
      <c r="E855" s="6"/>
      <c r="F855" s="6"/>
      <c r="G855" s="6"/>
      <c r="H855" s="6"/>
      <c r="I855" s="6"/>
      <c r="J855" s="9"/>
      <c r="K855" s="9"/>
      <c r="L855" s="9"/>
      <c r="M855" s="6"/>
      <c r="N855" s="6"/>
      <c r="O855" s="6"/>
    </row>
    <row r="856" spans="1:15" ht="12.75">
      <c r="A856" s="6"/>
      <c r="B856" s="6"/>
      <c r="C856" s="6"/>
      <c r="D856" s="6"/>
      <c r="E856" s="6"/>
      <c r="F856" s="6"/>
      <c r="G856" s="6"/>
      <c r="H856" s="12"/>
      <c r="I856" s="8"/>
      <c r="J856" s="6"/>
      <c r="K856" s="6"/>
      <c r="L856" s="12"/>
      <c r="M856" s="8"/>
      <c r="N856" s="6"/>
      <c r="O856" s="6"/>
    </row>
    <row r="857" spans="1:15" ht="12.75">
      <c r="A857" s="6"/>
      <c r="B857" s="6"/>
      <c r="C857" s="6"/>
      <c r="D857" s="9"/>
      <c r="E857" s="9"/>
      <c r="F857" s="8"/>
      <c r="G857" s="8"/>
      <c r="H857" s="9"/>
      <c r="I857" s="9"/>
      <c r="J857" s="9"/>
      <c r="K857" s="6"/>
      <c r="L857" s="9"/>
      <c r="M857" s="9"/>
      <c r="N857" s="9"/>
      <c r="O857" s="6"/>
    </row>
    <row r="858" spans="1:15" ht="12.75">
      <c r="A858" s="6"/>
      <c r="B858" s="8"/>
      <c r="C858" s="8"/>
      <c r="D858" s="8"/>
      <c r="E858" s="8"/>
      <c r="F858" s="10"/>
      <c r="G858" s="10"/>
      <c r="H858" s="11"/>
      <c r="I858" s="11"/>
      <c r="J858" s="11"/>
      <c r="K858" s="6"/>
      <c r="L858" s="11"/>
      <c r="M858" s="11"/>
      <c r="N858" s="11"/>
      <c r="O858" s="6"/>
    </row>
    <row r="859" spans="1:15" ht="12.75">
      <c r="A859" s="6"/>
      <c r="B859" s="9"/>
      <c r="C859" s="9"/>
      <c r="D859" s="9"/>
      <c r="E859" s="9"/>
      <c r="F859" s="9"/>
      <c r="G859" s="9"/>
      <c r="H859" s="9"/>
      <c r="I859" s="9"/>
      <c r="J859" s="9"/>
      <c r="K859" s="6"/>
      <c r="L859" s="9"/>
      <c r="M859" s="9"/>
      <c r="N859" s="9"/>
      <c r="O859" s="6"/>
    </row>
    <row r="860" spans="1:15" ht="12.75">
      <c r="A860" s="6"/>
      <c r="B860" s="8"/>
      <c r="C860" s="12"/>
      <c r="D860" s="12"/>
      <c r="E860" s="12"/>
      <c r="F860" s="12"/>
      <c r="G860" s="12"/>
      <c r="H860" s="15"/>
      <c r="I860" s="12"/>
      <c r="J860" s="12"/>
      <c r="K860" s="6"/>
      <c r="L860" s="15"/>
      <c r="M860" s="12"/>
      <c r="N860" s="12"/>
      <c r="O860" s="6"/>
    </row>
    <row r="861" spans="1:15" ht="12.75">
      <c r="A861" s="6"/>
      <c r="B861" s="8"/>
      <c r="C861" s="12"/>
      <c r="D861" s="12"/>
      <c r="E861" s="12"/>
      <c r="F861" s="12"/>
      <c r="G861" s="12"/>
      <c r="H861" s="15"/>
      <c r="I861" s="12"/>
      <c r="J861" s="12"/>
      <c r="K861" s="6"/>
      <c r="L861" s="15"/>
      <c r="M861" s="12"/>
      <c r="N861" s="12"/>
      <c r="O861" s="6"/>
    </row>
    <row r="862" spans="1:15" ht="12.75">
      <c r="A862" s="6"/>
      <c r="B862" s="8"/>
      <c r="C862" s="12"/>
      <c r="D862" s="12"/>
      <c r="E862" s="12"/>
      <c r="F862" s="12"/>
      <c r="G862" s="12"/>
      <c r="H862" s="15"/>
      <c r="I862" s="12"/>
      <c r="J862" s="12"/>
      <c r="K862" s="6"/>
      <c r="L862" s="15"/>
      <c r="M862" s="12"/>
      <c r="N862" s="12"/>
      <c r="O862" s="6"/>
    </row>
    <row r="863" spans="1:15" ht="12.75">
      <c r="A863" s="6"/>
      <c r="B863" s="8"/>
      <c r="C863" s="12"/>
      <c r="D863" s="12"/>
      <c r="E863" s="12"/>
      <c r="F863" s="12"/>
      <c r="G863" s="12"/>
      <c r="H863" s="15"/>
      <c r="I863" s="12"/>
      <c r="J863" s="12"/>
      <c r="K863" s="6"/>
      <c r="L863" s="15"/>
      <c r="M863" s="12"/>
      <c r="N863" s="12"/>
      <c r="O863" s="6"/>
    </row>
    <row r="864" spans="1:15" ht="12.75">
      <c r="A864" s="6"/>
      <c r="B864" s="8"/>
      <c r="C864" s="12"/>
      <c r="D864" s="12"/>
      <c r="E864" s="12"/>
      <c r="F864" s="12"/>
      <c r="G864" s="12"/>
      <c r="H864" s="15"/>
      <c r="I864" s="12"/>
      <c r="J864" s="12"/>
      <c r="K864" s="6"/>
      <c r="L864" s="15"/>
      <c r="M864" s="12"/>
      <c r="N864" s="12"/>
      <c r="O864" s="6"/>
    </row>
    <row r="865" spans="1:15" ht="12.75">
      <c r="A865" s="6"/>
      <c r="B865" s="8"/>
      <c r="C865" s="12"/>
      <c r="D865" s="12"/>
      <c r="E865" s="12"/>
      <c r="F865" s="12"/>
      <c r="G865" s="12"/>
      <c r="H865" s="15"/>
      <c r="I865" s="12"/>
      <c r="J865" s="12"/>
      <c r="K865" s="6"/>
      <c r="L865" s="15"/>
      <c r="M865" s="12"/>
      <c r="N865" s="12"/>
      <c r="O865" s="6"/>
    </row>
    <row r="866" spans="1:15" ht="12.75">
      <c r="A866" s="6"/>
      <c r="B866" s="11"/>
      <c r="C866" s="12"/>
      <c r="D866" s="12"/>
      <c r="E866" s="12"/>
      <c r="F866" s="12"/>
      <c r="G866" s="12"/>
      <c r="H866" s="15"/>
      <c r="I866" s="12"/>
      <c r="J866" s="12"/>
      <c r="K866" s="6"/>
      <c r="L866" s="15"/>
      <c r="M866" s="12"/>
      <c r="N866" s="12"/>
      <c r="O866" s="6"/>
    </row>
    <row r="867" spans="1:15" ht="12.75">
      <c r="A867" s="6"/>
      <c r="B867" s="8"/>
      <c r="C867" s="12"/>
      <c r="D867" s="12"/>
      <c r="E867" s="12"/>
      <c r="F867" s="12"/>
      <c r="G867" s="12"/>
      <c r="H867" s="15"/>
      <c r="I867" s="12"/>
      <c r="J867" s="12"/>
      <c r="K867" s="6"/>
      <c r="L867" s="15"/>
      <c r="M867" s="12"/>
      <c r="N867" s="12"/>
      <c r="O867" s="6"/>
    </row>
    <row r="868" spans="1:15" ht="12.75">
      <c r="A868" s="6"/>
      <c r="B868" s="8"/>
      <c r="C868" s="6"/>
      <c r="D868" s="12"/>
      <c r="E868" s="6"/>
      <c r="F868" s="12"/>
      <c r="G868" s="12"/>
      <c r="H868" s="15"/>
      <c r="I868" s="12"/>
      <c r="J868" s="12"/>
      <c r="K868" s="6"/>
      <c r="L868" s="15"/>
      <c r="M868" s="12"/>
      <c r="N868" s="12"/>
      <c r="O868" s="6"/>
    </row>
    <row r="869" spans="1:15" ht="12.75">
      <c r="A869" s="6"/>
      <c r="B869" s="8"/>
      <c r="C869" s="6"/>
      <c r="D869" s="12"/>
      <c r="E869" s="6"/>
      <c r="F869" s="12"/>
      <c r="G869" s="12"/>
      <c r="H869" s="15"/>
      <c r="I869" s="12"/>
      <c r="J869" s="12"/>
      <c r="K869" s="6"/>
      <c r="L869" s="15"/>
      <c r="M869" s="12"/>
      <c r="N869" s="12"/>
      <c r="O869" s="6"/>
    </row>
    <row r="870" spans="1:15" ht="12.75">
      <c r="A870" s="6"/>
      <c r="B870" s="8"/>
      <c r="C870" s="6"/>
      <c r="D870" s="12"/>
      <c r="E870" s="6"/>
      <c r="F870" s="12"/>
      <c r="G870" s="12"/>
      <c r="H870" s="15"/>
      <c r="I870" s="12"/>
      <c r="J870" s="12"/>
      <c r="K870" s="6"/>
      <c r="L870" s="15"/>
      <c r="M870" s="12"/>
      <c r="N870" s="12"/>
      <c r="O870" s="6"/>
    </row>
    <row r="871" spans="1:15" ht="12.75">
      <c r="A871" s="6"/>
      <c r="B871" s="8"/>
      <c r="C871" s="12"/>
      <c r="D871" s="12"/>
      <c r="E871" s="12"/>
      <c r="F871" s="12"/>
      <c r="G871" s="12"/>
      <c r="H871" s="15"/>
      <c r="I871" s="12"/>
      <c r="J871" s="12"/>
      <c r="K871" s="6"/>
      <c r="L871" s="15"/>
      <c r="M871" s="12"/>
      <c r="N871" s="12"/>
      <c r="O871" s="6"/>
    </row>
    <row r="872" spans="1:15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2.75">
      <c r="A873" s="6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8"/>
    </row>
    <row r="874" spans="1:15" ht="12.75">
      <c r="A874" s="6"/>
      <c r="B874" s="8"/>
      <c r="C874" s="6"/>
      <c r="D874" s="12"/>
      <c r="E874" s="12"/>
      <c r="F874" s="12"/>
      <c r="G874" s="12"/>
      <c r="H874" s="6"/>
      <c r="I874" s="12"/>
      <c r="J874" s="12"/>
      <c r="K874" s="6"/>
      <c r="L874" s="6"/>
      <c r="M874" s="12"/>
      <c r="N874" s="12"/>
      <c r="O874" s="6"/>
    </row>
    <row r="875" spans="1:15" ht="12.75">
      <c r="A875" s="6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6"/>
    </row>
    <row r="877" spans="2:8" ht="12.75">
      <c r="B877" s="17"/>
      <c r="H877" s="17"/>
    </row>
    <row r="878" spans="2:8" ht="12.75">
      <c r="B878" s="18"/>
      <c r="C878" s="18"/>
      <c r="D878" s="18"/>
      <c r="E878" s="18"/>
      <c r="H878" s="18"/>
    </row>
    <row r="879" spans="2:13" ht="12.75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</row>
    <row r="880" spans="3:9" ht="12.75">
      <c r="C880" s="17"/>
      <c r="E880" s="19"/>
      <c r="I880" s="17"/>
    </row>
    <row r="881" spans="2:12" ht="12.75">
      <c r="B881" s="17"/>
      <c r="C881" s="18"/>
      <c r="D881" s="18"/>
      <c r="E881" s="17"/>
      <c r="I881" s="18"/>
      <c r="J881" s="18"/>
      <c r="K881" s="18"/>
      <c r="L881" s="18"/>
    </row>
    <row r="882" spans="5:12" ht="12.75">
      <c r="E882" s="18"/>
      <c r="F882" s="17"/>
      <c r="G882" s="20"/>
      <c r="H882" s="17"/>
      <c r="K882" s="20"/>
      <c r="L882" s="17"/>
    </row>
    <row r="883" spans="7:13" ht="12.75">
      <c r="G883" s="18"/>
      <c r="H883" s="18"/>
      <c r="I883" s="18"/>
      <c r="K883" s="18"/>
      <c r="L883" s="18"/>
      <c r="M883" s="18"/>
    </row>
    <row r="884" spans="3:13" ht="12.75">
      <c r="C884" s="17"/>
      <c r="D884" s="17"/>
      <c r="E884" s="17"/>
      <c r="F884" s="17"/>
      <c r="G884" s="21"/>
      <c r="H884" s="21"/>
      <c r="I884" s="21"/>
      <c r="K884" s="21"/>
      <c r="L884" s="21"/>
      <c r="M884" s="21"/>
    </row>
    <row r="885" spans="2:13" ht="12.75">
      <c r="B885" s="18"/>
      <c r="C885" s="18"/>
      <c r="D885" s="18"/>
      <c r="E885" s="18"/>
      <c r="F885" s="18"/>
      <c r="G885" s="18"/>
      <c r="H885" s="18"/>
      <c r="I885" s="18"/>
      <c r="K885" s="18"/>
      <c r="L885" s="18"/>
      <c r="M885" s="18"/>
    </row>
    <row r="886" spans="2:13" ht="12.75">
      <c r="B886" s="20"/>
      <c r="C886" s="20"/>
      <c r="D886" s="20"/>
      <c r="E886" s="20"/>
      <c r="F886" s="20"/>
      <c r="G886" s="22"/>
      <c r="H886" s="20"/>
      <c r="I886" s="20"/>
      <c r="K886" s="22"/>
      <c r="L886" s="20"/>
      <c r="M886" s="20"/>
    </row>
    <row r="887" spans="2:13" ht="12.75">
      <c r="B887" s="20"/>
      <c r="C887" s="20"/>
      <c r="D887" s="20"/>
      <c r="E887" s="20"/>
      <c r="F887" s="20"/>
      <c r="G887" s="22"/>
      <c r="H887" s="20"/>
      <c r="I887" s="20"/>
      <c r="K887" s="22"/>
      <c r="L887" s="20"/>
      <c r="M887" s="20"/>
    </row>
    <row r="888" spans="2:13" ht="12.75">
      <c r="B888" s="20"/>
      <c r="C888" s="20"/>
      <c r="D888" s="20"/>
      <c r="E888" s="20"/>
      <c r="F888" s="20"/>
      <c r="G888" s="22"/>
      <c r="H888" s="20"/>
      <c r="I888" s="20"/>
      <c r="K888" s="22"/>
      <c r="L888" s="20"/>
      <c r="M888" s="20"/>
    </row>
    <row r="889" spans="7:11" ht="12.75">
      <c r="G889" s="23"/>
      <c r="K889" s="23"/>
    </row>
    <row r="890" spans="2:13" ht="12.75">
      <c r="B890" s="20"/>
      <c r="C890" s="20"/>
      <c r="D890" s="20"/>
      <c r="E890" s="20"/>
      <c r="F890" s="20"/>
      <c r="G890" s="22"/>
      <c r="H890" s="20"/>
      <c r="I890" s="20"/>
      <c r="K890" s="22"/>
      <c r="L890" s="20"/>
      <c r="M890" s="20"/>
    </row>
    <row r="891" spans="2:13" ht="12.75">
      <c r="B891" s="20"/>
      <c r="C891" s="20"/>
      <c r="D891" s="20"/>
      <c r="E891" s="20"/>
      <c r="F891" s="20"/>
      <c r="G891" s="22"/>
      <c r="H891" s="20"/>
      <c r="I891" s="20"/>
      <c r="K891" s="22"/>
      <c r="L891" s="20"/>
      <c r="M891" s="20"/>
    </row>
    <row r="892" spans="2:13" ht="12.75">
      <c r="B892" s="20"/>
      <c r="C892" s="20"/>
      <c r="D892" s="20"/>
      <c r="E892" s="20"/>
      <c r="F892" s="20"/>
      <c r="G892" s="22"/>
      <c r="H892" s="20"/>
      <c r="I892" s="20"/>
      <c r="K892" s="22"/>
      <c r="L892" s="20"/>
      <c r="M892" s="20"/>
    </row>
    <row r="894" spans="2:13" ht="12.75"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</row>
    <row r="895" spans="2:13" ht="12.75">
      <c r="B895" s="17"/>
      <c r="H895" s="20"/>
      <c r="I895" s="20"/>
      <c r="J895" s="17"/>
      <c r="K895" s="17"/>
      <c r="L895" s="20"/>
      <c r="M895" s="20"/>
    </row>
    <row r="896" spans="2:13" ht="12.75"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 ht="12.75">
      <c r="A897" s="17"/>
    </row>
    <row r="898" spans="2:8" ht="12.75">
      <c r="B898" s="17"/>
      <c r="H898" s="17"/>
    </row>
    <row r="899" spans="2:8" ht="12.75">
      <c r="B899" s="18"/>
      <c r="C899" s="18"/>
      <c r="D899" s="18"/>
      <c r="E899" s="18"/>
      <c r="H899" s="18"/>
    </row>
    <row r="900" ht="12.75">
      <c r="E900" s="17"/>
    </row>
    <row r="901" spans="5:7" ht="12.75">
      <c r="E901" s="18"/>
      <c r="F901" s="18"/>
      <c r="G901" s="18"/>
    </row>
    <row r="902" spans="2:24" ht="12.75"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 t="s">
        <v>419</v>
      </c>
      <c r="U902" s="18" t="s">
        <v>419</v>
      </c>
      <c r="V902" s="18" t="s">
        <v>419</v>
      </c>
      <c r="W902" s="18" t="s">
        <v>419</v>
      </c>
      <c r="X902" s="18" t="s">
        <v>419</v>
      </c>
    </row>
    <row r="903" spans="5:17" ht="12.75">
      <c r="E903" s="17"/>
      <c r="H903" s="17"/>
      <c r="K903" s="17"/>
      <c r="Q903" s="17"/>
    </row>
    <row r="904" spans="3:21" ht="12.75">
      <c r="C904" s="17"/>
      <c r="E904" s="18"/>
      <c r="F904" s="18"/>
      <c r="H904" s="18"/>
      <c r="I904" s="18"/>
      <c r="J904" s="17"/>
      <c r="K904" s="18"/>
      <c r="L904" s="18"/>
      <c r="M904" s="18"/>
      <c r="N904" s="18"/>
      <c r="Q904" s="18"/>
      <c r="R904" s="18"/>
      <c r="S904" s="18"/>
      <c r="T904" s="18" t="s">
        <v>419</v>
      </c>
      <c r="U904" s="18" t="s">
        <v>419</v>
      </c>
    </row>
    <row r="905" spans="17:23" ht="12.75">
      <c r="Q905" s="20"/>
      <c r="R905" s="17"/>
      <c r="V905" s="20">
        <f>H849</f>
        <v>0</v>
      </c>
      <c r="W905" s="17" t="s">
        <v>494</v>
      </c>
    </row>
    <row r="906" spans="2:24" ht="12.75">
      <c r="B906" s="17"/>
      <c r="C906" s="17"/>
      <c r="F906" s="21"/>
      <c r="G906" s="17"/>
      <c r="H906" s="17"/>
      <c r="J906" s="17"/>
      <c r="K906" s="17"/>
      <c r="M906" s="17"/>
      <c r="Q906" s="18"/>
      <c r="R906" s="18"/>
      <c r="S906" s="18"/>
      <c r="V906" s="18" t="s">
        <v>419</v>
      </c>
      <c r="W906" s="18" t="s">
        <v>419</v>
      </c>
      <c r="X906" s="18" t="s">
        <v>419</v>
      </c>
    </row>
    <row r="907" spans="4:24" ht="12.75">
      <c r="D907" s="17"/>
      <c r="E907" s="17"/>
      <c r="F907" s="19"/>
      <c r="G907" s="19"/>
      <c r="H907" s="17"/>
      <c r="J907" s="17"/>
      <c r="K907" s="24"/>
      <c r="M907" s="17"/>
      <c r="O907" s="21"/>
      <c r="P907" s="21"/>
      <c r="Q907" s="17"/>
      <c r="R907" s="21"/>
      <c r="S907" s="21"/>
      <c r="T907" s="21" t="s">
        <v>516</v>
      </c>
      <c r="U907" s="21" t="s">
        <v>516</v>
      </c>
      <c r="V907" s="17" t="s">
        <v>532</v>
      </c>
      <c r="W907" s="21" t="s">
        <v>500</v>
      </c>
      <c r="X907" s="21" t="s">
        <v>426</v>
      </c>
    </row>
    <row r="908" spans="2:24" ht="12.75"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 t="s">
        <v>419</v>
      </c>
      <c r="U908" s="18" t="s">
        <v>419</v>
      </c>
      <c r="V908" s="18" t="s">
        <v>419</v>
      </c>
      <c r="W908" s="18" t="s">
        <v>419</v>
      </c>
      <c r="X908" s="18" t="s">
        <v>419</v>
      </c>
    </row>
    <row r="909" spans="2:24" ht="12.75">
      <c r="B909" s="20"/>
      <c r="C909" s="20"/>
      <c r="D909" s="20"/>
      <c r="E909" s="20"/>
      <c r="F909" s="20"/>
      <c r="G909" s="20"/>
      <c r="H909" s="20"/>
      <c r="I909" s="22"/>
      <c r="J909" s="20"/>
      <c r="K909" s="20"/>
      <c r="M909" s="20"/>
      <c r="O909" s="22"/>
      <c r="P909" s="22"/>
      <c r="Q909" s="22"/>
      <c r="R909" s="20"/>
      <c r="S909" s="20"/>
      <c r="T909" s="22" t="e">
        <f>ROUND((((1+$E$103)^(C909))-1)/(($E$103)*((1+$E$103)^C909)),4)</f>
        <v>#DIV/0!</v>
      </c>
      <c r="U909" s="22" t="e">
        <f>ROUND((((1+$E$103)^(B909))-1)/(($E$103)*((1+$E$103)^B909)),4)</f>
        <v>#DIV/0!</v>
      </c>
      <c r="V909" s="22" t="e">
        <f>T909-U909</f>
        <v>#DIV/0!</v>
      </c>
      <c r="W909" s="20" t="e">
        <f>(K909*V909)</f>
        <v>#DIV/0!</v>
      </c>
      <c r="X909" s="20" t="e">
        <f>M909*V909</f>
        <v>#DIV/0!</v>
      </c>
    </row>
    <row r="910" spans="2:24" ht="12.75">
      <c r="B910" s="20"/>
      <c r="C910" s="20"/>
      <c r="D910" s="20"/>
      <c r="E910" s="20"/>
      <c r="F910" s="20"/>
      <c r="G910" s="20"/>
      <c r="H910" s="20"/>
      <c r="I910" s="22"/>
      <c r="J910" s="20"/>
      <c r="K910" s="20"/>
      <c r="M910" s="20"/>
      <c r="O910" s="22"/>
      <c r="P910" s="22"/>
      <c r="Q910" s="22"/>
      <c r="R910" s="20"/>
      <c r="S910" s="20"/>
      <c r="T910" s="22" t="e">
        <f>ROUND((((1+$E$103)^(C910))-1)/(($E$103)*((1+$E$103)^C910)),4)</f>
        <v>#DIV/0!</v>
      </c>
      <c r="U910" s="22" t="e">
        <f>ROUND((((1+$E$103)^(B910))-1)/(($E$103)*((1+$E$103)^B910)),4)</f>
        <v>#DIV/0!</v>
      </c>
      <c r="V910" s="22" t="e">
        <f>T910-U910</f>
        <v>#DIV/0!</v>
      </c>
      <c r="W910" s="20" t="e">
        <f>(K910*V910)</f>
        <v>#DIV/0!</v>
      </c>
      <c r="X910" s="20" t="e">
        <f>M910*V910</f>
        <v>#DIV/0!</v>
      </c>
    </row>
    <row r="911" spans="2:24" ht="12.75">
      <c r="B911" s="20"/>
      <c r="C911" s="20"/>
      <c r="D911" s="20"/>
      <c r="E911" s="20"/>
      <c r="F911" s="20"/>
      <c r="G911" s="20"/>
      <c r="H911" s="20"/>
      <c r="I911" s="22"/>
      <c r="J911" s="20"/>
      <c r="K911" s="20"/>
      <c r="M911" s="20"/>
      <c r="O911" s="22"/>
      <c r="P911" s="22"/>
      <c r="Q911" s="22"/>
      <c r="R911" s="20"/>
      <c r="S911" s="20"/>
      <c r="T911" s="22" t="e">
        <f>ROUND((((1+$E$103)^(C911))-1)/(($E$103)*((1+$E$103)^C911)),4)</f>
        <v>#DIV/0!</v>
      </c>
      <c r="U911" s="22" t="e">
        <f>ROUND((((1+$E$103)^(B911))-1)/(($E$103)*((1+$E$103)^B911)),4)</f>
        <v>#DIV/0!</v>
      </c>
      <c r="V911" s="22" t="e">
        <f>T911-U911</f>
        <v>#DIV/0!</v>
      </c>
      <c r="W911" s="20" t="e">
        <f>(K911*V911)</f>
        <v>#DIV/0!</v>
      </c>
      <c r="X911" s="20" t="e">
        <f>M911*V911</f>
        <v>#DIV/0!</v>
      </c>
    </row>
    <row r="913" spans="2:24" ht="12.75"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 t="s">
        <v>419</v>
      </c>
      <c r="U913" s="18" t="s">
        <v>419</v>
      </c>
      <c r="V913" s="18" t="s">
        <v>419</v>
      </c>
      <c r="W913" s="18" t="s">
        <v>419</v>
      </c>
      <c r="X913" s="18" t="s">
        <v>419</v>
      </c>
    </row>
    <row r="914" spans="2:24" ht="12.75">
      <c r="B914" s="17"/>
      <c r="K914" s="22"/>
      <c r="R914" s="20"/>
      <c r="S914" s="20"/>
      <c r="W914" s="20" t="e">
        <f>SUM(W909:W911)</f>
        <v>#DIV/0!</v>
      </c>
      <c r="X914" s="20" t="e">
        <f>SUM(X909:X911)</f>
        <v>#DIV/0!</v>
      </c>
    </row>
    <row r="915" spans="2:24" ht="12.75"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 t="s">
        <v>419</v>
      </c>
      <c r="U915" s="18" t="s">
        <v>419</v>
      </c>
      <c r="V915" s="18" t="s">
        <v>419</v>
      </c>
      <c r="W915" s="18" t="s">
        <v>419</v>
      </c>
      <c r="X915" s="18" t="s">
        <v>419</v>
      </c>
    </row>
    <row r="917" spans="2:8" ht="12.75">
      <c r="B917" s="17"/>
      <c r="H917" s="17"/>
    </row>
    <row r="918" spans="2:8" ht="12.75">
      <c r="B918" s="18"/>
      <c r="C918" s="18"/>
      <c r="D918" s="18"/>
      <c r="E918" s="18"/>
      <c r="H918" s="18"/>
    </row>
    <row r="919" ht="12.75">
      <c r="E919" s="17"/>
    </row>
    <row r="920" spans="5:7" ht="12.75">
      <c r="E920" s="18"/>
      <c r="F920" s="18"/>
      <c r="G920" s="18"/>
    </row>
    <row r="921" spans="2:24" ht="12.75"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 t="s">
        <v>419</v>
      </c>
      <c r="U921" s="18" t="s">
        <v>419</v>
      </c>
      <c r="V921" s="18" t="s">
        <v>419</v>
      </c>
      <c r="W921" s="18" t="s">
        <v>419</v>
      </c>
      <c r="X921" s="18" t="s">
        <v>419</v>
      </c>
    </row>
    <row r="922" spans="3:22" ht="12.75">
      <c r="C922" s="17"/>
      <c r="D922" s="17"/>
      <c r="H922" s="17"/>
      <c r="K922" s="17"/>
      <c r="P922" s="20"/>
      <c r="Q922" s="17"/>
      <c r="U922" s="20">
        <f>H849</f>
        <v>0</v>
      </c>
      <c r="V922" s="17" t="s">
        <v>494</v>
      </c>
    </row>
    <row r="923" spans="2:23" ht="12.75">
      <c r="B923" s="17"/>
      <c r="C923" s="17"/>
      <c r="D923" s="18"/>
      <c r="E923" s="18"/>
      <c r="F923" s="21"/>
      <c r="G923" s="17"/>
      <c r="H923" s="18"/>
      <c r="I923" s="18"/>
      <c r="J923" s="18"/>
      <c r="K923" s="18"/>
      <c r="L923" s="18"/>
      <c r="M923" s="18"/>
      <c r="P923" s="18"/>
      <c r="Q923" s="18"/>
      <c r="R923" s="18"/>
      <c r="U923" s="18" t="s">
        <v>419</v>
      </c>
      <c r="V923" s="18" t="s">
        <v>419</v>
      </c>
      <c r="W923" s="18" t="s">
        <v>419</v>
      </c>
    </row>
    <row r="924" spans="4:23" ht="12.75">
      <c r="D924" s="17"/>
      <c r="F924" s="17"/>
      <c r="G924" s="17"/>
      <c r="H924" s="19"/>
      <c r="I924" s="19"/>
      <c r="K924" s="19"/>
      <c r="L924" s="19"/>
      <c r="N924" s="21"/>
      <c r="O924" s="21"/>
      <c r="P924" s="17"/>
      <c r="Q924" s="21"/>
      <c r="R924" s="21"/>
      <c r="S924" s="21"/>
      <c r="T924" s="21" t="s">
        <v>516</v>
      </c>
      <c r="U924" s="17" t="s">
        <v>532</v>
      </c>
      <c r="V924" s="21" t="s">
        <v>500</v>
      </c>
      <c r="W924" s="21" t="s">
        <v>426</v>
      </c>
    </row>
    <row r="925" spans="2:23" ht="12.75">
      <c r="B925" s="18"/>
      <c r="C925" s="18"/>
      <c r="D925" s="18"/>
      <c r="F925" s="18"/>
      <c r="G925" s="18"/>
      <c r="H925" s="18"/>
      <c r="I925" s="18"/>
      <c r="K925" s="18"/>
      <c r="L925" s="18"/>
      <c r="N925" s="18"/>
      <c r="O925" s="18"/>
      <c r="P925" s="18"/>
      <c r="Q925" s="18"/>
      <c r="R925" s="18"/>
      <c r="S925" s="18"/>
      <c r="T925" s="18" t="s">
        <v>419</v>
      </c>
      <c r="U925" s="18" t="s">
        <v>419</v>
      </c>
      <c r="V925" s="18" t="s">
        <v>419</v>
      </c>
      <c r="W925" s="18" t="s">
        <v>419</v>
      </c>
    </row>
    <row r="926" spans="2:23" ht="12.75">
      <c r="B926" s="20"/>
      <c r="C926" s="20"/>
      <c r="D926" s="20"/>
      <c r="F926" s="20"/>
      <c r="G926" s="20"/>
      <c r="H926" s="20"/>
      <c r="I926" s="20"/>
      <c r="K926" s="20"/>
      <c r="L926" s="20"/>
      <c r="N926" s="22"/>
      <c r="O926" s="22"/>
      <c r="P926" s="22"/>
      <c r="Q926" s="20"/>
      <c r="R926" s="20"/>
      <c r="S926" s="22"/>
      <c r="T926" s="22" t="e">
        <f>ROUND((((1+$E$103)^(B926))-1)/(($E$103)*((1+$E$103)^B926)),4)</f>
        <v>#DIV/0!</v>
      </c>
      <c r="U926" s="22" t="e">
        <f>S926-T926</f>
        <v>#DIV/0!</v>
      </c>
      <c r="V926" s="20" t="e">
        <f>(K926*U926)</f>
        <v>#DIV/0!</v>
      </c>
      <c r="W926" s="20" t="e">
        <f>L926*U926</f>
        <v>#DIV/0!</v>
      </c>
    </row>
    <row r="927" spans="2:23" ht="12.75">
      <c r="B927" s="20"/>
      <c r="C927" s="20"/>
      <c r="D927" s="20"/>
      <c r="F927" s="20"/>
      <c r="G927" s="20"/>
      <c r="H927" s="20"/>
      <c r="I927" s="20"/>
      <c r="K927" s="20"/>
      <c r="L927" s="20"/>
      <c r="N927" s="22"/>
      <c r="O927" s="22"/>
      <c r="P927" s="22"/>
      <c r="Q927" s="20"/>
      <c r="R927" s="20"/>
      <c r="S927" s="22"/>
      <c r="T927" s="22" t="e">
        <f>ROUND((((1+$E$103)^(B927))-1)/(($E$103)*((1+$E$103)^B927)),4)</f>
        <v>#DIV/0!</v>
      </c>
      <c r="U927" s="22" t="e">
        <f>S927-T927</f>
        <v>#DIV/0!</v>
      </c>
      <c r="V927" s="20" t="e">
        <f>(K927*U927)</f>
        <v>#DIV/0!</v>
      </c>
      <c r="W927" s="20" t="e">
        <f>L927*U927</f>
        <v>#DIV/0!</v>
      </c>
    </row>
    <row r="928" spans="2:23" ht="12.75">
      <c r="B928" s="20"/>
      <c r="C928" s="20"/>
      <c r="D928" s="20"/>
      <c r="F928" s="20"/>
      <c r="G928" s="20"/>
      <c r="H928" s="20"/>
      <c r="I928" s="20"/>
      <c r="K928" s="20"/>
      <c r="L928" s="20"/>
      <c r="N928" s="22"/>
      <c r="O928" s="22"/>
      <c r="P928" s="22"/>
      <c r="Q928" s="20"/>
      <c r="R928" s="20"/>
      <c r="S928" s="22"/>
      <c r="T928" s="22" t="e">
        <f>ROUND((((1+$E$103)^(B928))-1)/(($E$103)*((1+$E$103)^B928)),4)</f>
        <v>#DIV/0!</v>
      </c>
      <c r="U928" s="22" t="e">
        <f>S928-T928</f>
        <v>#DIV/0!</v>
      </c>
      <c r="V928" s="20" t="e">
        <f>(K928*U928)</f>
        <v>#DIV/0!</v>
      </c>
      <c r="W928" s="20" t="e">
        <f>L928*U928</f>
        <v>#DIV/0!</v>
      </c>
    </row>
    <row r="930" spans="2:23" ht="12.75"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 t="s">
        <v>419</v>
      </c>
      <c r="U930" s="18" t="s">
        <v>419</v>
      </c>
      <c r="V930" s="18" t="s">
        <v>419</v>
      </c>
      <c r="W930" s="18" t="s">
        <v>419</v>
      </c>
    </row>
    <row r="931" spans="2:23" ht="12.75">
      <c r="B931" s="17"/>
      <c r="K931" s="22"/>
      <c r="Q931" s="20"/>
      <c r="R931" s="20"/>
      <c r="V931" s="20" t="e">
        <f>SUM(V926:V928)</f>
        <v>#DIV/0!</v>
      </c>
      <c r="W931" s="20" t="e">
        <f>SUM(W926:W928)</f>
        <v>#DIV/0!</v>
      </c>
    </row>
    <row r="932" spans="2:23" ht="12.75"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 t="s">
        <v>419</v>
      </c>
      <c r="U932" s="18" t="s">
        <v>419</v>
      </c>
      <c r="V932" s="18" t="s">
        <v>419</v>
      </c>
      <c r="W932" s="18" t="s">
        <v>419</v>
      </c>
    </row>
    <row r="933" ht="12.75">
      <c r="A933" s="17"/>
    </row>
    <row r="934" spans="2:8" ht="12.75">
      <c r="B934" s="17"/>
      <c r="H934" s="17"/>
    </row>
    <row r="935" spans="2:17" ht="12.75">
      <c r="B935" s="18"/>
      <c r="C935" s="18"/>
      <c r="D935" s="18"/>
      <c r="E935" s="18"/>
      <c r="H935" s="18"/>
      <c r="Q935" s="17"/>
    </row>
    <row r="937" spans="2:23" ht="12.75"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 t="s">
        <v>419</v>
      </c>
      <c r="U937" s="18" t="s">
        <v>419</v>
      </c>
      <c r="V937" s="18" t="s">
        <v>419</v>
      </c>
      <c r="W937" s="18" t="s">
        <v>419</v>
      </c>
    </row>
    <row r="938" spans="4:12" ht="12.75">
      <c r="D938" s="17"/>
      <c r="F938" s="17"/>
      <c r="L938" s="17"/>
    </row>
    <row r="939" spans="3:15" ht="12.75">
      <c r="C939" s="17"/>
      <c r="D939" s="17"/>
      <c r="E939" s="17"/>
      <c r="F939" s="17"/>
      <c r="L939" s="18"/>
      <c r="M939" s="18"/>
      <c r="N939" s="18"/>
      <c r="O939" s="18"/>
    </row>
    <row r="940" spans="2:16" ht="12.75">
      <c r="B940" s="17"/>
      <c r="C940" s="17"/>
      <c r="J940" s="20"/>
      <c r="K940" s="17"/>
      <c r="O940" s="20"/>
      <c r="P940" s="17"/>
    </row>
    <row r="941" spans="4:17" ht="12.75">
      <c r="D941" s="17"/>
      <c r="E941" s="17"/>
      <c r="F941" s="19"/>
      <c r="G941" s="19"/>
      <c r="H941" s="21"/>
      <c r="I941" s="21"/>
      <c r="J941" s="17"/>
      <c r="K941" s="21"/>
      <c r="L941" s="21"/>
      <c r="M941" s="21"/>
      <c r="N941" s="21"/>
      <c r="O941" s="17"/>
      <c r="P941" s="21"/>
      <c r="Q941" s="21"/>
    </row>
    <row r="942" spans="2:17" ht="12.75"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2:17" ht="12.75">
      <c r="B943" s="20"/>
      <c r="C943" s="20"/>
      <c r="D943" s="20"/>
      <c r="E943" s="20"/>
      <c r="F943" s="20"/>
      <c r="G943" s="20"/>
      <c r="H943" s="22"/>
      <c r="I943" s="22"/>
      <c r="J943" s="22"/>
      <c r="K943" s="20"/>
      <c r="L943" s="20"/>
      <c r="M943" s="22"/>
      <c r="N943" s="22"/>
      <c r="O943" s="22"/>
      <c r="P943" s="20"/>
      <c r="Q943" s="20"/>
    </row>
    <row r="944" spans="2:17" ht="12.75">
      <c r="B944" s="20"/>
      <c r="C944" s="20"/>
      <c r="D944" s="20"/>
      <c r="E944" s="20"/>
      <c r="F944" s="20"/>
      <c r="G944" s="20"/>
      <c r="H944" s="22"/>
      <c r="I944" s="22"/>
      <c r="J944" s="22"/>
      <c r="K944" s="20"/>
      <c r="L944" s="20"/>
      <c r="M944" s="22"/>
      <c r="N944" s="22"/>
      <c r="O944" s="22"/>
      <c r="P944" s="20"/>
      <c r="Q944" s="20"/>
    </row>
    <row r="945" spans="2:17" ht="12.75">
      <c r="B945" s="20"/>
      <c r="C945" s="20"/>
      <c r="D945" s="20"/>
      <c r="E945" s="20"/>
      <c r="F945" s="20"/>
      <c r="G945" s="20"/>
      <c r="H945" s="22"/>
      <c r="I945" s="22"/>
      <c r="J945" s="22"/>
      <c r="K945" s="20"/>
      <c r="L945" s="20"/>
      <c r="M945" s="22"/>
      <c r="N945" s="22"/>
      <c r="O945" s="22"/>
      <c r="P945" s="20"/>
      <c r="Q945" s="20"/>
    </row>
    <row r="947" spans="2:17" ht="12.75"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2:17" ht="12.75">
      <c r="B948" s="17"/>
      <c r="K948" s="20"/>
      <c r="L948" s="20"/>
      <c r="P948" s="20"/>
      <c r="Q948" s="20"/>
    </row>
    <row r="949" spans="2:17" ht="12.75"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2" spans="2:8" ht="12.75">
      <c r="B952" s="17"/>
      <c r="H952" s="17"/>
    </row>
    <row r="953" spans="2:8" ht="12.75">
      <c r="B953" s="18"/>
      <c r="C953" s="18"/>
      <c r="D953" s="18"/>
      <c r="E953" s="18"/>
      <c r="F953" s="18"/>
      <c r="H953" s="18"/>
    </row>
    <row r="954" spans="2:8" ht="12.75">
      <c r="B954" s="17"/>
      <c r="H954" s="20"/>
    </row>
    <row r="956" spans="2:8" ht="12.75">
      <c r="B956" s="17"/>
      <c r="H956" s="20"/>
    </row>
    <row r="958" spans="2:8" ht="12.75">
      <c r="B958" s="17"/>
      <c r="E958" s="17"/>
      <c r="H958" s="20"/>
    </row>
    <row r="960" ht="12.75">
      <c r="B960" s="17"/>
    </row>
    <row r="961" spans="2:6" ht="12.75">
      <c r="B961" s="18"/>
      <c r="C961" s="18"/>
      <c r="D961" s="18"/>
      <c r="E961" s="18"/>
      <c r="F961" s="18"/>
    </row>
    <row r="962" spans="2:8" ht="12.75">
      <c r="B962" s="20"/>
      <c r="C962" s="17"/>
      <c r="F962" s="20"/>
      <c r="G962" s="22"/>
      <c r="H962" s="20"/>
    </row>
    <row r="963" ht="12.75">
      <c r="B963" s="17"/>
    </row>
    <row r="964" spans="2:8" ht="12.75">
      <c r="B964" s="20"/>
      <c r="C964" s="17"/>
      <c r="D964" s="17"/>
      <c r="F964" s="20"/>
      <c r="G964" s="22"/>
      <c r="H964" s="20"/>
    </row>
    <row r="966" ht="12.75">
      <c r="A966" s="17"/>
    </row>
    <row r="967" spans="2:8" ht="12.75">
      <c r="B967" s="17"/>
      <c r="H967" s="17"/>
    </row>
    <row r="968" spans="2:8" ht="12.75">
      <c r="B968" s="18"/>
      <c r="C968" s="18"/>
      <c r="D968" s="18"/>
      <c r="E968" s="18"/>
      <c r="F968" s="18"/>
      <c r="G968" s="18"/>
      <c r="H968" s="18"/>
    </row>
    <row r="969" spans="2:13" ht="12.75"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</row>
    <row r="970" spans="2:8" ht="12.75">
      <c r="B970" s="17"/>
      <c r="D970" s="17"/>
      <c r="F970" s="17"/>
      <c r="H970" s="17"/>
    </row>
    <row r="971" spans="2:6" ht="12.75">
      <c r="B971" s="17"/>
      <c r="F971" s="17"/>
    </row>
    <row r="972" spans="2:13" ht="12.75"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</row>
    <row r="973" spans="8:12" ht="12.75">
      <c r="H973" s="17"/>
      <c r="J973" s="17"/>
      <c r="K973" s="17"/>
      <c r="L973" s="17"/>
    </row>
    <row r="974" spans="3:11" ht="12.75">
      <c r="C974" s="21"/>
      <c r="D974" s="17"/>
      <c r="E974" s="17"/>
      <c r="F974" s="17"/>
      <c r="G974" s="21"/>
      <c r="H974" s="17"/>
      <c r="J974" s="17"/>
      <c r="K974" s="17"/>
    </row>
    <row r="975" spans="7:11" ht="12.75">
      <c r="G975" s="21"/>
      <c r="H975" s="17"/>
      <c r="J975" s="17"/>
      <c r="K975" s="17"/>
    </row>
    <row r="976" spans="2:13" ht="12.75"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</row>
    <row r="977" spans="2:12" ht="12.75">
      <c r="B977" s="17"/>
      <c r="C977" s="20"/>
      <c r="D977" s="20"/>
      <c r="E977" s="20"/>
      <c r="F977" s="20"/>
      <c r="G977" s="20"/>
      <c r="H977" s="20"/>
      <c r="J977" s="20"/>
      <c r="K977" s="20"/>
      <c r="L977" s="20"/>
    </row>
    <row r="978" spans="2:12" ht="12.75">
      <c r="B978" s="17"/>
      <c r="C978" s="20"/>
      <c r="D978" s="20"/>
      <c r="E978" s="20"/>
      <c r="F978" s="20"/>
      <c r="G978" s="20"/>
      <c r="H978" s="20"/>
      <c r="J978" s="20"/>
      <c r="K978" s="20"/>
      <c r="L978" s="20"/>
    </row>
    <row r="979" spans="2:12" ht="12.75">
      <c r="B979" s="17"/>
      <c r="C979" s="20"/>
      <c r="D979" s="20"/>
      <c r="E979" s="20"/>
      <c r="F979" s="20"/>
      <c r="G979" s="20"/>
      <c r="H979" s="20"/>
      <c r="J979" s="20"/>
      <c r="K979" s="20"/>
      <c r="L979" s="20"/>
    </row>
    <row r="980" spans="2:12" ht="12.75">
      <c r="B980" s="17"/>
      <c r="C980" s="20"/>
      <c r="D980" s="20"/>
      <c r="E980" s="20"/>
      <c r="F980" s="20"/>
      <c r="G980" s="20"/>
      <c r="H980" s="20"/>
      <c r="J980" s="20"/>
      <c r="K980" s="20"/>
      <c r="L980" s="20"/>
    </row>
    <row r="982" spans="2:12" ht="12.75"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2:12" ht="12.75">
      <c r="B983" s="17"/>
      <c r="G983" s="20"/>
      <c r="L983" s="20"/>
    </row>
    <row r="984" spans="2:12" ht="12.75"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6" ht="12.75">
      <c r="B986" s="17"/>
    </row>
    <row r="987" spans="2:10" ht="12.75"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3:8" ht="12.75">
      <c r="C988" s="17"/>
      <c r="D988" s="17"/>
      <c r="E988" s="17"/>
      <c r="H988" s="17"/>
    </row>
    <row r="989" spans="2:10" ht="12.75">
      <c r="B989" s="17"/>
      <c r="C989" s="17"/>
      <c r="E989" s="17"/>
      <c r="F989" s="17"/>
      <c r="G989" s="17"/>
      <c r="H989" s="17"/>
      <c r="I989" s="17"/>
      <c r="J989" s="17"/>
    </row>
    <row r="990" spans="2:10" ht="12.75"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2:10" ht="12.75">
      <c r="B991" s="20"/>
      <c r="C991" s="20"/>
      <c r="D991" s="22"/>
      <c r="E991" s="20"/>
      <c r="G991" s="20"/>
      <c r="H991" s="20"/>
      <c r="J991" s="20"/>
    </row>
    <row r="992" spans="2:10" ht="12.75">
      <c r="B992" s="20"/>
      <c r="C992" s="20"/>
      <c r="D992" s="22"/>
      <c r="E992" s="20"/>
      <c r="G992" s="20"/>
      <c r="H992" s="20"/>
      <c r="J992" s="20"/>
    </row>
    <row r="994" spans="2:10" ht="12.75">
      <c r="B994" s="18"/>
      <c r="C994" s="18"/>
      <c r="D994" s="18"/>
      <c r="E994" s="18"/>
      <c r="F994" s="18"/>
      <c r="G994" s="18"/>
      <c r="H994" s="18"/>
      <c r="I994" s="18"/>
      <c r="J994" s="18"/>
    </row>
    <row r="995" ht="12.75">
      <c r="A995" s="17"/>
    </row>
    <row r="996" spans="2:8" ht="12.75">
      <c r="B996" s="17"/>
      <c r="H996" s="17"/>
    </row>
    <row r="997" spans="2:8" ht="12.75">
      <c r="B997" s="18"/>
      <c r="C997" s="18"/>
      <c r="D997" s="18"/>
      <c r="E997" s="18"/>
      <c r="F997" s="18"/>
      <c r="G997" s="18"/>
      <c r="H997" s="18"/>
    </row>
    <row r="998" spans="2:10" ht="12.75"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2:11" ht="12.75">
      <c r="B999" s="17"/>
      <c r="C999" s="17"/>
      <c r="G999" s="21"/>
      <c r="K999" s="21"/>
    </row>
    <row r="1000" spans="6:12" ht="12.75">
      <c r="F1000" s="17"/>
      <c r="H1000" s="17"/>
      <c r="J1000" s="17"/>
      <c r="L1000" s="17"/>
    </row>
    <row r="1001" spans="2:10" ht="12.75"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2:12" ht="12.75">
      <c r="B1002" s="17"/>
      <c r="C1002" s="17"/>
      <c r="F1002" s="20"/>
      <c r="H1002" s="20"/>
      <c r="J1002" s="20"/>
      <c r="L1002" s="20"/>
    </row>
    <row r="1003" spans="3:12" ht="12.75">
      <c r="C1003" s="17"/>
      <c r="F1003" s="20"/>
      <c r="H1003" s="20"/>
      <c r="J1003" s="20"/>
      <c r="L1003" s="20"/>
    </row>
    <row r="1004" spans="3:12" ht="12.75">
      <c r="C1004" s="17"/>
      <c r="L1004" s="17"/>
    </row>
    <row r="1005" spans="2:12" ht="12.75">
      <c r="B1005" s="17"/>
      <c r="C1005" s="17"/>
      <c r="F1005" s="20"/>
      <c r="H1005" s="20"/>
      <c r="J1005" s="20"/>
      <c r="L1005" s="20"/>
    </row>
    <row r="1006" spans="3:12" ht="12.75">
      <c r="C1006" s="17"/>
      <c r="L1006" s="17"/>
    </row>
    <row r="1007" spans="3:12" ht="12.75">
      <c r="C1007" s="17"/>
      <c r="F1007" s="20"/>
      <c r="H1007" s="20"/>
      <c r="J1007" s="20"/>
      <c r="L1007" s="20"/>
    </row>
    <row r="1008" spans="3:12" ht="12.75">
      <c r="C1008" s="17"/>
      <c r="L1008" s="17"/>
    </row>
    <row r="1009" spans="2:12" ht="12.75">
      <c r="B1009" s="17"/>
      <c r="C1009" s="17"/>
      <c r="F1009" s="20"/>
      <c r="H1009" s="20"/>
      <c r="J1009" s="20"/>
      <c r="L1009" s="20"/>
    </row>
    <row r="1010" ht="12.75">
      <c r="C1010" s="17"/>
    </row>
    <row r="1011" spans="2:12" ht="12.75">
      <c r="B1011" s="17"/>
      <c r="C1011" s="17"/>
      <c r="F1011" s="20"/>
      <c r="H1011" s="20"/>
      <c r="J1011" s="20"/>
      <c r="L1011" s="20"/>
    </row>
    <row r="1012" ht="12.75">
      <c r="C1012" s="17"/>
    </row>
    <row r="1013" spans="2:12" ht="12.75">
      <c r="B1013" s="17"/>
      <c r="C1013" s="17"/>
      <c r="F1013" s="20"/>
      <c r="H1013" s="20"/>
      <c r="J1013" s="20"/>
      <c r="L1013" s="20"/>
    </row>
    <row r="1014" spans="2:12" ht="12.75">
      <c r="B1014" s="17"/>
      <c r="C1014" s="17"/>
      <c r="F1014" s="20"/>
      <c r="H1014" s="20"/>
      <c r="J1014" s="20"/>
      <c r="L1014" s="20"/>
    </row>
    <row r="1015" spans="2:12" ht="12.75">
      <c r="B1015" s="17"/>
      <c r="C1015" s="17"/>
      <c r="E1015" s="17"/>
      <c r="F1015" s="20"/>
      <c r="H1015" s="20"/>
      <c r="J1015" s="20"/>
      <c r="L1015" s="20"/>
    </row>
    <row r="1016" spans="2:12" ht="12.75">
      <c r="B1016" s="17"/>
      <c r="C1016" s="17"/>
      <c r="F1016" s="20"/>
      <c r="H1016" s="20"/>
      <c r="J1016" s="20"/>
      <c r="L1016" s="20"/>
    </row>
    <row r="1017" spans="2:12" ht="12.75">
      <c r="B1017" s="17"/>
      <c r="C1017" s="17"/>
      <c r="E1017" s="20"/>
      <c r="F1017" s="20"/>
      <c r="H1017" s="20"/>
      <c r="J1017" s="20"/>
      <c r="L1017" s="20"/>
    </row>
    <row r="1018" spans="2:12" ht="12.75">
      <c r="B1018" s="17"/>
      <c r="C1018" s="17"/>
      <c r="F1018" s="20"/>
      <c r="H1018" s="20"/>
      <c r="J1018" s="20"/>
      <c r="L1018" s="20"/>
    </row>
    <row r="1019" spans="2:12" ht="12.75"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</row>
    <row r="1020" spans="2:12" ht="12.75">
      <c r="B1020" s="17"/>
      <c r="F1020" s="20"/>
      <c r="H1020" s="20"/>
      <c r="L1020" s="20"/>
    </row>
    <row r="1021" spans="2:12" ht="12.75"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</row>
    <row r="1023" ht="12.75">
      <c r="B1023" s="17"/>
    </row>
    <row r="1024" spans="2:10" ht="12.75"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3:8" ht="12.75">
      <c r="C1025" s="17"/>
      <c r="D1025" s="17"/>
      <c r="E1025" s="17"/>
      <c r="H1025" s="17"/>
    </row>
    <row r="1026" spans="2:10" ht="12.75">
      <c r="B1026" s="17"/>
      <c r="C1026" s="17"/>
      <c r="E1026" s="17"/>
      <c r="F1026" s="17"/>
      <c r="G1026" s="17"/>
      <c r="H1026" s="17"/>
      <c r="I1026" s="17"/>
      <c r="J1026" s="17"/>
    </row>
    <row r="1027" spans="2:10" ht="12.75"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2:10" ht="12.75">
      <c r="B1028" s="20"/>
      <c r="C1028" s="20"/>
      <c r="D1028" s="22"/>
      <c r="E1028" s="20"/>
      <c r="G1028" s="20"/>
      <c r="H1028" s="20"/>
      <c r="J1028" s="20"/>
    </row>
    <row r="1029" spans="2:10" ht="12.75">
      <c r="B1029" s="20"/>
      <c r="C1029" s="20"/>
      <c r="D1029" s="22"/>
      <c r="E1029" s="20"/>
      <c r="G1029" s="20"/>
      <c r="H1029" s="20"/>
      <c r="J1029" s="20"/>
    </row>
    <row r="1030" spans="2:10" ht="12.75"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2" ht="12.75">
      <c r="B1032" s="17"/>
    </row>
    <row r="1033" spans="2:7" ht="12.75">
      <c r="B1033" s="18"/>
      <c r="C1033" s="18"/>
      <c r="D1033" s="18"/>
      <c r="E1033" s="18"/>
      <c r="F1033" s="18"/>
      <c r="G1033" s="18"/>
    </row>
    <row r="1034" spans="2:8" ht="12.75">
      <c r="B1034" s="17"/>
      <c r="E1034" s="17"/>
      <c r="H1034" s="20"/>
    </row>
    <row r="1036" ht="12.75">
      <c r="B1036" s="17"/>
    </row>
    <row r="1037" spans="2:6" ht="12.75">
      <c r="B1037" s="18"/>
      <c r="C1037" s="18"/>
      <c r="D1037" s="18"/>
      <c r="E1037" s="18"/>
      <c r="F1037" s="18"/>
    </row>
    <row r="1038" spans="2:8" ht="12.75">
      <c r="B1038" s="20"/>
      <c r="C1038" s="17"/>
      <c r="F1038" s="20"/>
      <c r="G1038" s="22"/>
      <c r="H1038" s="20"/>
    </row>
    <row r="1039" ht="12.75">
      <c r="B1039" s="17"/>
    </row>
    <row r="1040" spans="2:8" ht="12.75">
      <c r="B1040" s="20"/>
      <c r="C1040" s="17"/>
      <c r="F1040" s="20"/>
      <c r="G1040" s="22"/>
      <c r="H1040" s="20"/>
    </row>
    <row r="1042" ht="12.75">
      <c r="A1042" s="17"/>
    </row>
    <row r="1044" ht="12.75">
      <c r="D1044" s="17"/>
    </row>
    <row r="1045" ht="12.75">
      <c r="B1045" s="17"/>
    </row>
    <row r="1046" spans="2:11" ht="12.75"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</row>
    <row r="1047" ht="12.75">
      <c r="E1047" s="17"/>
    </row>
    <row r="1048" spans="5:8" ht="12.75">
      <c r="E1048" s="18"/>
      <c r="F1048" s="18"/>
      <c r="G1048" s="18"/>
      <c r="H1048" s="18"/>
    </row>
    <row r="1049" spans="2:16" ht="12.75"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</row>
    <row r="1050" spans="2:10" ht="12.75">
      <c r="B1050" s="17"/>
      <c r="C1050" s="17"/>
      <c r="F1050" s="17"/>
      <c r="J1050" s="17"/>
    </row>
    <row r="1051" spans="6:12" ht="12.75">
      <c r="F1051" s="17"/>
      <c r="J1051" s="18"/>
      <c r="K1051" s="18"/>
      <c r="L1051" s="18"/>
    </row>
    <row r="1052" spans="6:14" ht="12.75">
      <c r="F1052" s="17"/>
      <c r="H1052" s="20"/>
      <c r="I1052" s="17"/>
      <c r="M1052" s="20"/>
      <c r="N1052" s="17"/>
    </row>
    <row r="1053" spans="8:15" ht="12.75">
      <c r="H1053" s="21"/>
      <c r="J1053" s="21"/>
      <c r="K1053" s="17"/>
      <c r="L1053" s="17"/>
      <c r="M1053" s="17"/>
      <c r="O1053" s="21"/>
    </row>
    <row r="1054" spans="2:16" ht="12.75"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</row>
    <row r="1055" spans="2:15" ht="12.75">
      <c r="B1055" s="17"/>
      <c r="C1055" s="17"/>
      <c r="F1055" s="17"/>
      <c r="H1055" s="20"/>
      <c r="J1055" s="20"/>
      <c r="M1055" s="20"/>
      <c r="O1055" s="20"/>
    </row>
    <row r="1057" spans="2:15" ht="12.75">
      <c r="B1057" s="17"/>
      <c r="C1057" s="17"/>
      <c r="F1057" s="17"/>
      <c r="H1057" s="20"/>
      <c r="J1057" s="20"/>
      <c r="M1057" s="20"/>
      <c r="O1057" s="20"/>
    </row>
    <row r="1059" spans="2:3" ht="12.75">
      <c r="B1059" s="17"/>
      <c r="C1059" s="17"/>
    </row>
    <row r="1060" spans="3:15" ht="12.75">
      <c r="C1060" s="17"/>
      <c r="F1060" s="17"/>
      <c r="H1060" s="20"/>
      <c r="J1060" s="20"/>
      <c r="M1060" s="20"/>
      <c r="O1060" s="20"/>
    </row>
    <row r="1062" spans="3:15" ht="12.75">
      <c r="C1062" s="17"/>
      <c r="F1062" s="17"/>
      <c r="H1062" s="20"/>
      <c r="J1062" s="20"/>
      <c r="M1062" s="20"/>
      <c r="O1062" s="20"/>
    </row>
    <row r="1064" spans="2:3" ht="12.75">
      <c r="B1064" s="17"/>
      <c r="C1064" s="17"/>
    </row>
    <row r="1065" spans="3:15" ht="12.75">
      <c r="C1065" s="17"/>
      <c r="F1065" s="17"/>
      <c r="H1065" s="20"/>
      <c r="J1065" s="20"/>
      <c r="M1065" s="20"/>
      <c r="O1065" s="20"/>
    </row>
    <row r="1067" spans="3:15" ht="12.75">
      <c r="C1067" s="17"/>
      <c r="F1067" s="17"/>
      <c r="H1067" s="20"/>
      <c r="J1067" s="20"/>
      <c r="M1067" s="20"/>
      <c r="O1067" s="20"/>
    </row>
    <row r="1069" spans="2:3" ht="12.75">
      <c r="B1069" s="17"/>
      <c r="C1069" s="17"/>
    </row>
    <row r="1070" spans="3:15" ht="12.75">
      <c r="C1070" s="17"/>
      <c r="F1070" s="17"/>
      <c r="H1070" s="20"/>
      <c r="J1070" s="20"/>
      <c r="M1070" s="20"/>
      <c r="O1070" s="20"/>
    </row>
    <row r="1072" spans="3:15" ht="12.75">
      <c r="C1072" s="17"/>
      <c r="F1072" s="17"/>
      <c r="H1072" s="20"/>
      <c r="J1072" s="20"/>
      <c r="M1072" s="20"/>
      <c r="O1072" s="20"/>
    </row>
    <row r="1073" spans="2:3" ht="12.75">
      <c r="B1073" s="17"/>
      <c r="C1073" s="17"/>
    </row>
    <row r="1074" spans="3:13" ht="12.75">
      <c r="C1074" s="17"/>
      <c r="H1074" s="20"/>
      <c r="M1074" s="20"/>
    </row>
    <row r="1075" spans="2:16" ht="12.75"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</row>
    <row r="1076" spans="3:15" ht="12.75">
      <c r="C1076" s="17"/>
      <c r="H1076" s="20"/>
      <c r="J1076" s="20"/>
      <c r="M1076" s="20"/>
      <c r="N1076" s="17"/>
      <c r="O1076" s="20"/>
    </row>
    <row r="1077" spans="2:16" ht="12.75"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</row>
    <row r="1080" spans="4:7" ht="12.75">
      <c r="D1080" s="17" t="s">
        <v>661</v>
      </c>
      <c r="G1080" s="20" t="e">
        <f>(E847*100)+((((E849*100)-(E847*100))*(J1076-H1076))/((J1076-H1076)+(M1076-O1076)))</f>
        <v>#DIV/0!</v>
      </c>
    </row>
    <row r="1081" spans="4:7" ht="12.75">
      <c r="D1081" s="18" t="s">
        <v>419</v>
      </c>
      <c r="E1081" s="18" t="s">
        <v>419</v>
      </c>
      <c r="F1081" s="18" t="s">
        <v>419</v>
      </c>
      <c r="G1081" s="18" t="s">
        <v>419</v>
      </c>
    </row>
    <row r="1082" ht="12.75">
      <c r="A1082" s="17" t="s">
        <v>467</v>
      </c>
    </row>
    <row r="1247" ht="12.75">
      <c r="A1247" s="6"/>
    </row>
    <row r="1248" spans="1:15" ht="12.75">
      <c r="A1248" s="6"/>
      <c r="B1248" s="8" t="s">
        <v>669</v>
      </c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1:15" ht="12.75">
      <c r="A1249" s="6"/>
      <c r="B1249" s="9" t="s">
        <v>419</v>
      </c>
      <c r="C1249" s="9" t="s">
        <v>419</v>
      </c>
      <c r="D1249" s="9" t="s">
        <v>419</v>
      </c>
      <c r="E1249" s="9" t="s">
        <v>419</v>
      </c>
      <c r="F1249" s="9" t="s">
        <v>419</v>
      </c>
      <c r="G1249" s="9" t="s">
        <v>419</v>
      </c>
      <c r="H1249" s="9" t="s">
        <v>419</v>
      </c>
      <c r="I1249" s="9" t="s">
        <v>419</v>
      </c>
      <c r="J1249" s="9" t="s">
        <v>419</v>
      </c>
      <c r="K1249" s="6"/>
      <c r="L1249" s="6"/>
      <c r="M1249" s="6"/>
      <c r="N1249" s="6"/>
      <c r="O1249" s="6"/>
    </row>
    <row r="1250" spans="1:15" ht="12.75">
      <c r="A1250" s="6"/>
      <c r="B1250" s="8" t="s">
        <v>420</v>
      </c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1:15" ht="12.75">
      <c r="A1251" s="6"/>
      <c r="B1251" s="9" t="s">
        <v>419</v>
      </c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1:15" ht="12.75">
      <c r="A1252" s="6"/>
      <c r="B1252" s="9" t="s">
        <v>419</v>
      </c>
      <c r="C1252" s="9" t="s">
        <v>419</v>
      </c>
      <c r="D1252" s="9" t="s">
        <v>419</v>
      </c>
      <c r="E1252" s="9" t="s">
        <v>419</v>
      </c>
      <c r="F1252" s="9" t="s">
        <v>419</v>
      </c>
      <c r="G1252" s="9" t="s">
        <v>419</v>
      </c>
      <c r="H1252" s="9" t="s">
        <v>419</v>
      </c>
      <c r="I1252" s="9" t="s">
        <v>419</v>
      </c>
      <c r="J1252" s="9" t="s">
        <v>419</v>
      </c>
      <c r="K1252" s="6"/>
      <c r="L1252" s="6"/>
      <c r="M1252" s="6"/>
      <c r="N1252" s="6"/>
      <c r="O1252" s="6"/>
    </row>
    <row r="1253" spans="1:15" ht="12.75">
      <c r="A1253" s="6"/>
      <c r="B1253" s="8" t="s">
        <v>421</v>
      </c>
      <c r="C1253" s="6"/>
      <c r="D1253" s="6"/>
      <c r="E1253" s="6"/>
      <c r="F1253" s="8" t="s">
        <v>422</v>
      </c>
      <c r="G1253" s="10" t="s">
        <v>423</v>
      </c>
      <c r="H1253" s="6"/>
      <c r="I1253" s="6"/>
      <c r="J1253" s="8" t="s">
        <v>424</v>
      </c>
      <c r="K1253" s="6"/>
      <c r="L1253" s="6"/>
      <c r="M1253" s="6"/>
      <c r="N1253" s="6"/>
      <c r="O1253" s="6"/>
    </row>
    <row r="1254" spans="1:15" ht="12.75">
      <c r="A1254" s="6"/>
      <c r="B1254" s="6"/>
      <c r="C1254" s="6"/>
      <c r="D1254" s="6"/>
      <c r="E1254" s="6"/>
      <c r="F1254" s="6"/>
      <c r="G1254" s="8" t="s">
        <v>425</v>
      </c>
      <c r="H1254" s="8" t="s">
        <v>426</v>
      </c>
      <c r="I1254" s="6"/>
      <c r="J1254" s="8" t="s">
        <v>427</v>
      </c>
      <c r="K1254" s="6"/>
      <c r="L1254" s="6"/>
      <c r="M1254" s="6"/>
      <c r="N1254" s="6"/>
      <c r="O1254" s="6"/>
    </row>
    <row r="1255" spans="1:15" ht="12.75">
      <c r="A1255" s="6"/>
      <c r="B1255" s="9" t="s">
        <v>419</v>
      </c>
      <c r="C1255" s="9" t="s">
        <v>419</v>
      </c>
      <c r="D1255" s="9" t="s">
        <v>419</v>
      </c>
      <c r="E1255" s="9" t="s">
        <v>419</v>
      </c>
      <c r="F1255" s="9" t="s">
        <v>419</v>
      </c>
      <c r="G1255" s="9" t="s">
        <v>419</v>
      </c>
      <c r="H1255" s="9" t="s">
        <v>419</v>
      </c>
      <c r="I1255" s="9" t="s">
        <v>419</v>
      </c>
      <c r="J1255" s="9" t="s">
        <v>419</v>
      </c>
      <c r="K1255" s="6"/>
      <c r="L1255" s="6"/>
      <c r="M1255" s="6"/>
      <c r="N1255" s="6"/>
      <c r="O1255" s="6"/>
    </row>
    <row r="1256" spans="1:15" ht="12.75">
      <c r="A1256" s="6"/>
      <c r="B1256" s="8" t="s">
        <v>428</v>
      </c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1:15" ht="12.75">
      <c r="A1257" s="6"/>
      <c r="B1257" s="6"/>
      <c r="C1257" s="6"/>
      <c r="D1257" s="6"/>
      <c r="E1257" s="6"/>
      <c r="F1257" s="6"/>
      <c r="G1257" s="12"/>
      <c r="H1257" s="12"/>
      <c r="I1257" s="6"/>
      <c r="J1257" s="6"/>
      <c r="K1257" s="6"/>
      <c r="L1257" s="6"/>
      <c r="M1257" s="6"/>
      <c r="N1257" s="6"/>
      <c r="O1257" s="6"/>
    </row>
    <row r="1258" spans="1:15" ht="12.75">
      <c r="A1258" s="6"/>
      <c r="B1258" s="8" t="s">
        <v>429</v>
      </c>
      <c r="C1258" s="6"/>
      <c r="D1258" s="8"/>
      <c r="E1258" s="6"/>
      <c r="F1258" s="8" t="s">
        <v>670</v>
      </c>
      <c r="G1258" s="12">
        <v>306</v>
      </c>
      <c r="H1258" s="12">
        <v>277</v>
      </c>
      <c r="I1258" s="8" t="s">
        <v>671</v>
      </c>
      <c r="J1258" s="6"/>
      <c r="K1258" s="6"/>
      <c r="L1258" s="6"/>
      <c r="M1258" s="6"/>
      <c r="N1258" s="6"/>
      <c r="O1258" s="6"/>
    </row>
    <row r="1259" spans="1:15" ht="12.75">
      <c r="A1259" s="6"/>
      <c r="B1259" s="8" t="s">
        <v>431</v>
      </c>
      <c r="C1259" s="6"/>
      <c r="D1259" s="8"/>
      <c r="E1259" s="6"/>
      <c r="F1259" s="6"/>
      <c r="G1259" s="12"/>
      <c r="H1259" s="12"/>
      <c r="I1259" s="6"/>
      <c r="J1259" s="6"/>
      <c r="K1259" s="6"/>
      <c r="L1259" s="6"/>
      <c r="M1259" s="6"/>
      <c r="N1259" s="6"/>
      <c r="O1259" s="6"/>
    </row>
    <row r="1260" spans="1:15" ht="12.75">
      <c r="A1260" s="6"/>
      <c r="B1260" s="8" t="s">
        <v>433</v>
      </c>
      <c r="C1260" s="6"/>
      <c r="D1260" s="6"/>
      <c r="E1260" s="6"/>
      <c r="F1260" s="8" t="s">
        <v>670</v>
      </c>
      <c r="G1260" s="11" t="s">
        <v>434</v>
      </c>
      <c r="H1260" s="12">
        <v>103.95</v>
      </c>
      <c r="I1260" s="8" t="s">
        <v>672</v>
      </c>
      <c r="J1260" s="6"/>
      <c r="K1260" s="6"/>
      <c r="L1260" s="6"/>
      <c r="M1260" s="6"/>
      <c r="N1260" s="6"/>
      <c r="O1260" s="6"/>
    </row>
    <row r="1261" spans="1:15" ht="12.75">
      <c r="A1261" s="6"/>
      <c r="B1261" s="8" t="s">
        <v>431</v>
      </c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1:15" ht="12.75">
      <c r="A1262" s="6"/>
      <c r="B1262" s="8" t="s">
        <v>435</v>
      </c>
      <c r="C1262" s="6"/>
      <c r="D1262" s="6"/>
      <c r="E1262" s="6"/>
      <c r="F1262" s="8" t="s">
        <v>436</v>
      </c>
      <c r="G1262" s="11">
        <v>21.7</v>
      </c>
      <c r="H1262" s="11">
        <v>39.85</v>
      </c>
      <c r="I1262" s="6"/>
      <c r="J1262" s="6"/>
      <c r="K1262" s="6"/>
      <c r="L1262" s="6"/>
      <c r="M1262" s="6"/>
      <c r="N1262" s="6"/>
      <c r="O1262" s="6"/>
    </row>
    <row r="1263" spans="1:15" ht="12.75">
      <c r="A1263" s="6"/>
      <c r="B1263" s="8" t="s">
        <v>431</v>
      </c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1:15" ht="12.75">
      <c r="A1264" s="6"/>
      <c r="B1264" s="8" t="s">
        <v>437</v>
      </c>
      <c r="C1264" s="6"/>
      <c r="D1264" s="6"/>
      <c r="E1264" s="6"/>
      <c r="F1264" s="6"/>
      <c r="G1264" s="6"/>
      <c r="H1264" s="8" t="s">
        <v>438</v>
      </c>
      <c r="I1264" s="6"/>
      <c r="J1264" s="6"/>
      <c r="K1264" s="6"/>
      <c r="L1264" s="6"/>
      <c r="M1264" s="6"/>
      <c r="N1264" s="6"/>
      <c r="O1264" s="6"/>
    </row>
    <row r="1265" spans="1:15" ht="12.75">
      <c r="A1265" s="6"/>
      <c r="B1265" s="9" t="s">
        <v>419</v>
      </c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1:15" ht="12.75">
      <c r="A1266" s="6"/>
      <c r="B1266" s="8" t="s">
        <v>439</v>
      </c>
      <c r="C1266" s="6"/>
      <c r="D1266" s="6"/>
      <c r="E1266" s="6"/>
      <c r="F1266" s="8" t="s">
        <v>440</v>
      </c>
      <c r="G1266" s="11" t="s">
        <v>434</v>
      </c>
      <c r="H1266" s="12">
        <v>10750</v>
      </c>
      <c r="I1266" s="8" t="s">
        <v>673</v>
      </c>
      <c r="J1266" s="6"/>
      <c r="K1266" s="6"/>
      <c r="L1266" s="6"/>
      <c r="M1266" s="6"/>
      <c r="N1266" s="6"/>
      <c r="O1266" s="6"/>
    </row>
    <row r="1267" spans="1:15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1:15" ht="12.75">
      <c r="A1268" s="6"/>
      <c r="B1268" s="8" t="s">
        <v>441</v>
      </c>
      <c r="C1268" s="6"/>
      <c r="D1268" s="6"/>
      <c r="E1268" s="6"/>
      <c r="F1268" s="8" t="s">
        <v>442</v>
      </c>
      <c r="G1268" s="12">
        <v>4.07</v>
      </c>
      <c r="H1268" s="11" t="s">
        <v>434</v>
      </c>
      <c r="I1268" s="6"/>
      <c r="J1268" s="6"/>
      <c r="K1268" s="6"/>
      <c r="L1268" s="6"/>
      <c r="M1268" s="6"/>
      <c r="N1268" s="6"/>
      <c r="O1268" s="6"/>
    </row>
    <row r="1269" spans="1:15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1:15" ht="12.75">
      <c r="A1270" s="6"/>
      <c r="B1270" s="8" t="s">
        <v>443</v>
      </c>
      <c r="C1270" s="6"/>
      <c r="D1270" s="6"/>
      <c r="E1270" s="6"/>
      <c r="F1270" s="8" t="s">
        <v>444</v>
      </c>
      <c r="G1270" s="13">
        <v>47.063</v>
      </c>
      <c r="H1270" s="13">
        <v>47.063</v>
      </c>
      <c r="I1270" s="8" t="s">
        <v>674</v>
      </c>
      <c r="J1270" s="6"/>
      <c r="K1270" s="6"/>
      <c r="L1270" s="6"/>
      <c r="M1270" s="6"/>
      <c r="N1270" s="6"/>
      <c r="O1270" s="6"/>
    </row>
    <row r="1271" spans="1:15" ht="12.75">
      <c r="A1271" s="6"/>
      <c r="B1271" s="8" t="s">
        <v>445</v>
      </c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1:15" ht="12.75">
      <c r="A1272" s="6"/>
      <c r="B1272" s="9" t="s">
        <v>419</v>
      </c>
      <c r="C1272" s="9" t="s">
        <v>419</v>
      </c>
      <c r="D1272" s="9" t="s">
        <v>419</v>
      </c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1:15" ht="12.75">
      <c r="A1273" s="6"/>
      <c r="B1273" s="8" t="s">
        <v>446</v>
      </c>
      <c r="C1273" s="6"/>
      <c r="D1273" s="6"/>
      <c r="E1273" s="6"/>
      <c r="F1273" s="8" t="s">
        <v>447</v>
      </c>
      <c r="G1273" s="12">
        <v>58.65</v>
      </c>
      <c r="H1273" s="11" t="s">
        <v>434</v>
      </c>
      <c r="I1273" s="6"/>
      <c r="J1273" s="6"/>
      <c r="K1273" s="6"/>
      <c r="L1273" s="6"/>
      <c r="M1273" s="6"/>
      <c r="N1273" s="6"/>
      <c r="O1273" s="6"/>
    </row>
    <row r="1274" spans="1:15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1:15" ht="12.75">
      <c r="A1275" s="6"/>
      <c r="B1275" s="8" t="s">
        <v>448</v>
      </c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1:15" ht="12.75">
      <c r="A1276" s="6"/>
      <c r="B1276" s="8" t="s">
        <v>449</v>
      </c>
      <c r="C1276" s="6"/>
      <c r="D1276" s="6"/>
      <c r="E1276" s="6"/>
      <c r="F1276" s="8" t="s">
        <v>457</v>
      </c>
      <c r="G1276" s="12">
        <v>8.25</v>
      </c>
      <c r="H1276" s="12">
        <v>18.36</v>
      </c>
      <c r="I1276" s="6"/>
      <c r="J1276" s="6"/>
      <c r="K1276" s="6"/>
      <c r="L1276" s="6"/>
      <c r="M1276" s="6"/>
      <c r="N1276" s="6"/>
      <c r="O1276" s="6"/>
    </row>
    <row r="1277" spans="1:15" ht="12.75">
      <c r="A1277" s="6"/>
      <c r="B1277" s="8" t="s">
        <v>675</v>
      </c>
      <c r="C1277" s="6"/>
      <c r="D1277" s="6"/>
      <c r="E1277" s="6"/>
      <c r="F1277" s="8" t="s">
        <v>452</v>
      </c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1:15" ht="12.75">
      <c r="A1278" s="6"/>
      <c r="B1278" s="8" t="s">
        <v>453</v>
      </c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1:15" ht="12.75">
      <c r="A1279" s="6"/>
      <c r="B1279" s="9" t="s">
        <v>419</v>
      </c>
      <c r="C1279" s="9" t="s">
        <v>419</v>
      </c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1:15" ht="12.75">
      <c r="A1280" s="6"/>
      <c r="B1280" s="8" t="s">
        <v>454</v>
      </c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1:15" ht="12.75">
      <c r="A1281" s="6"/>
      <c r="B1281" s="9" t="s">
        <v>419</v>
      </c>
      <c r="C1281" s="9" t="s">
        <v>419</v>
      </c>
      <c r="D1281" s="9" t="s">
        <v>419</v>
      </c>
      <c r="E1281" s="6"/>
      <c r="F1281" s="6"/>
      <c r="G1281" s="10" t="s">
        <v>455</v>
      </c>
      <c r="H1281" s="6"/>
      <c r="I1281" s="6"/>
      <c r="J1281" s="6"/>
      <c r="K1281" s="6"/>
      <c r="L1281" s="6"/>
      <c r="M1281" s="6"/>
      <c r="N1281" s="6"/>
      <c r="O1281" s="6"/>
    </row>
    <row r="1282" spans="1:15" ht="12.75">
      <c r="A1282" s="6"/>
      <c r="B1282" s="8" t="s">
        <v>456</v>
      </c>
      <c r="C1282" s="6"/>
      <c r="D1282" s="6"/>
      <c r="E1282" s="6"/>
      <c r="F1282" s="8" t="s">
        <v>457</v>
      </c>
      <c r="G1282" s="12">
        <v>6.42</v>
      </c>
      <c r="H1282" s="12">
        <v>2.29</v>
      </c>
      <c r="I1282" s="8" t="s">
        <v>676</v>
      </c>
      <c r="J1282" s="6"/>
      <c r="K1282" s="6"/>
      <c r="L1282" s="6"/>
      <c r="M1282" s="6"/>
      <c r="N1282" s="6"/>
      <c r="O1282" s="6"/>
    </row>
    <row r="1283" spans="1:15" ht="12.75">
      <c r="A1283" s="6"/>
      <c r="B1283" s="6"/>
      <c r="C1283" s="6"/>
      <c r="D1283" s="6"/>
      <c r="E1283" s="6"/>
      <c r="F1283" s="8" t="s">
        <v>452</v>
      </c>
      <c r="G1283" s="10" t="s">
        <v>455</v>
      </c>
      <c r="H1283" s="6"/>
      <c r="I1283" s="6" t="s">
        <v>15</v>
      </c>
      <c r="J1283" s="6"/>
      <c r="K1283" s="6"/>
      <c r="L1283" s="6"/>
      <c r="M1283" s="6"/>
      <c r="N1283" s="6"/>
      <c r="O1283" s="6"/>
    </row>
    <row r="1284" spans="1:15" ht="12.75">
      <c r="A1284" s="6"/>
      <c r="B1284" s="8" t="s">
        <v>458</v>
      </c>
      <c r="C1284" s="6"/>
      <c r="D1284" s="6"/>
      <c r="E1284" s="6"/>
      <c r="F1284" s="8" t="s">
        <v>457</v>
      </c>
      <c r="G1284" s="12">
        <v>19.2</v>
      </c>
      <c r="H1284" s="12">
        <v>5.24</v>
      </c>
      <c r="I1284" s="8" t="s">
        <v>677</v>
      </c>
      <c r="J1284" s="6"/>
      <c r="K1284" s="6"/>
      <c r="L1284" s="6"/>
      <c r="M1284" s="6"/>
      <c r="N1284" s="6"/>
      <c r="O1284" s="6"/>
    </row>
    <row r="1285" spans="1:15" ht="12.75">
      <c r="A1285" s="6"/>
      <c r="B1285" s="6"/>
      <c r="C1285" s="6"/>
      <c r="D1285" s="6"/>
      <c r="E1285" s="6"/>
      <c r="F1285" s="8" t="s">
        <v>452</v>
      </c>
      <c r="G1285" s="10" t="s">
        <v>455</v>
      </c>
      <c r="H1285" s="6"/>
      <c r="I1285" s="6"/>
      <c r="J1285" s="6"/>
      <c r="K1285" s="6"/>
      <c r="L1285" s="6"/>
      <c r="M1285" s="6"/>
      <c r="N1285" s="6"/>
      <c r="O1285" s="6"/>
    </row>
    <row r="1286" spans="1:15" ht="12.75">
      <c r="A1286" s="6"/>
      <c r="B1286" s="8" t="s">
        <v>459</v>
      </c>
      <c r="C1286" s="6"/>
      <c r="D1286" s="6"/>
      <c r="E1286" s="6"/>
      <c r="F1286" s="8" t="s">
        <v>457</v>
      </c>
      <c r="G1286" s="12">
        <v>19.9</v>
      </c>
      <c r="H1286" s="12">
        <f>H1284</f>
        <v>5.24</v>
      </c>
      <c r="I1286" s="8" t="s">
        <v>677</v>
      </c>
      <c r="J1286" s="6"/>
      <c r="K1286" s="6"/>
      <c r="L1286" s="6"/>
      <c r="M1286" s="6"/>
      <c r="N1286" s="6"/>
      <c r="O1286" s="6"/>
    </row>
    <row r="1287" spans="1:15" ht="12.75">
      <c r="A1287" s="6"/>
      <c r="B1287" s="6"/>
      <c r="C1287" s="6"/>
      <c r="D1287" s="6"/>
      <c r="E1287" s="6"/>
      <c r="F1287" s="8" t="s">
        <v>452</v>
      </c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1:15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1:15" ht="12.75">
      <c r="A1289" s="6"/>
      <c r="B1289" s="8" t="s">
        <v>460</v>
      </c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1:15" ht="12.75">
      <c r="A1290" s="6"/>
      <c r="B1290" s="6"/>
      <c r="C1290" s="6"/>
      <c r="D1290" s="6"/>
      <c r="E1290" s="6"/>
      <c r="F1290" s="6"/>
      <c r="G1290" s="8" t="s">
        <v>438</v>
      </c>
      <c r="H1290" s="6"/>
      <c r="I1290" s="6"/>
      <c r="J1290" s="6"/>
      <c r="K1290" s="6"/>
      <c r="L1290" s="6"/>
      <c r="M1290" s="6"/>
      <c r="N1290" s="6"/>
      <c r="O1290" s="6"/>
    </row>
    <row r="1291" spans="1:15" ht="12.75">
      <c r="A1291" s="6"/>
      <c r="B1291" s="8" t="s">
        <v>456</v>
      </c>
      <c r="C1291" s="6"/>
      <c r="D1291" s="6"/>
      <c r="E1291" s="6"/>
      <c r="F1291" s="8" t="s">
        <v>678</v>
      </c>
      <c r="G1291" s="14">
        <v>0.00517</v>
      </c>
      <c r="H1291" s="15">
        <v>0.0478</v>
      </c>
      <c r="I1291" s="8" t="s">
        <v>679</v>
      </c>
      <c r="J1291" s="6"/>
      <c r="K1291" s="6"/>
      <c r="L1291" s="6"/>
      <c r="M1291" s="6"/>
      <c r="N1291" s="6"/>
      <c r="O1291" s="6"/>
    </row>
    <row r="1292" spans="1:15" ht="12.75">
      <c r="A1292" s="6"/>
      <c r="B1292" s="6"/>
      <c r="C1292" s="6"/>
      <c r="D1292" s="6"/>
      <c r="E1292" s="6"/>
      <c r="F1292" s="8" t="s">
        <v>452</v>
      </c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1:15" ht="12.75">
      <c r="A1293" s="6"/>
      <c r="B1293" s="8" t="s">
        <v>463</v>
      </c>
      <c r="C1293" s="6"/>
      <c r="D1293" s="6"/>
      <c r="E1293" s="6"/>
      <c r="F1293" s="8" t="s">
        <v>678</v>
      </c>
      <c r="G1293" s="15">
        <v>0.0144</v>
      </c>
      <c r="H1293" s="15">
        <v>0.0681</v>
      </c>
      <c r="I1293" s="8" t="s">
        <v>677</v>
      </c>
      <c r="J1293" s="6"/>
      <c r="K1293" s="6"/>
      <c r="L1293" s="6"/>
      <c r="M1293" s="6"/>
      <c r="N1293" s="6"/>
      <c r="O1293" s="6"/>
    </row>
    <row r="1294" spans="1:15" ht="12.75">
      <c r="A1294" s="6"/>
      <c r="B1294" s="6"/>
      <c r="C1294" s="6"/>
      <c r="D1294" s="6"/>
      <c r="E1294" s="6"/>
      <c r="F1294" s="8" t="s">
        <v>452</v>
      </c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1:15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1:15" ht="12.75">
      <c r="A1296" s="6"/>
      <c r="B1296" s="8" t="s">
        <v>464</v>
      </c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1:15" ht="12.75">
      <c r="A1297" s="6"/>
      <c r="B1297" s="8" t="s">
        <v>465</v>
      </c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  <row r="1298" spans="1:15" ht="12.75">
      <c r="A1298" s="6"/>
      <c r="B1298" s="8" t="s">
        <v>466</v>
      </c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</row>
    <row r="1299" spans="1:15" ht="12.75">
      <c r="A1299" s="8" t="s">
        <v>467</v>
      </c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</row>
    <row r="1300" spans="1:15" ht="12.75">
      <c r="A1300" s="6"/>
      <c r="B1300" s="8" t="s">
        <v>468</v>
      </c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</row>
    <row r="1301" spans="1:15" ht="12.75">
      <c r="A1301" s="6"/>
      <c r="B1301" s="9" t="s">
        <v>419</v>
      </c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</row>
    <row r="1302" spans="1:15" ht="12.75">
      <c r="A1302" s="8" t="s">
        <v>469</v>
      </c>
      <c r="B1302" s="12">
        <v>626</v>
      </c>
      <c r="C1302" s="8" t="s">
        <v>680</v>
      </c>
      <c r="D1302" s="8" t="s">
        <v>471</v>
      </c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1:15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</row>
    <row r="1304" spans="1:15" ht="12.75">
      <c r="A1304" s="6"/>
      <c r="B1304" s="8" t="s">
        <v>472</v>
      </c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</row>
    <row r="1305" spans="1:15" ht="12.75">
      <c r="A1305" s="6"/>
      <c r="B1305" s="9" t="s">
        <v>419</v>
      </c>
      <c r="C1305" s="9" t="s">
        <v>419</v>
      </c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</row>
    <row r="1306" spans="1:15" ht="12.75">
      <c r="A1306" s="6"/>
      <c r="B1306" s="6"/>
      <c r="C1306" s="8" t="s">
        <v>425</v>
      </c>
      <c r="D1306" s="8" t="s">
        <v>473</v>
      </c>
      <c r="E1306" s="8" t="s">
        <v>426</v>
      </c>
      <c r="F1306" s="6"/>
      <c r="G1306" s="6"/>
      <c r="H1306" s="6"/>
      <c r="I1306" s="6"/>
      <c r="J1306" s="6"/>
      <c r="K1306" s="6"/>
      <c r="L1306" s="6"/>
      <c r="M1306" s="6"/>
      <c r="N1306" s="6"/>
      <c r="O1306" s="6"/>
    </row>
    <row r="1307" spans="1:15" ht="12.75">
      <c r="A1307" s="6"/>
      <c r="B1307" s="6"/>
      <c r="C1307" s="9" t="s">
        <v>419</v>
      </c>
      <c r="D1307" s="6"/>
      <c r="E1307" s="9" t="s">
        <v>419</v>
      </c>
      <c r="F1307" s="6"/>
      <c r="G1307" s="6"/>
      <c r="H1307" s="6"/>
      <c r="I1307" s="6"/>
      <c r="J1307" s="6"/>
      <c r="K1307" s="6"/>
      <c r="L1307" s="6"/>
      <c r="M1307" s="6"/>
      <c r="N1307" s="6"/>
      <c r="O1307" s="6"/>
    </row>
    <row r="1308" spans="1:15" ht="12.75">
      <c r="A1308" s="6"/>
      <c r="B1308" s="8" t="s">
        <v>474</v>
      </c>
      <c r="C1308" s="12">
        <v>41872.04</v>
      </c>
      <c r="D1308" s="12">
        <v>2669.1</v>
      </c>
      <c r="E1308" s="12">
        <v>6774.5</v>
      </c>
      <c r="F1308" s="6"/>
      <c r="G1308" s="6"/>
      <c r="H1308" s="6"/>
      <c r="I1308" s="6"/>
      <c r="J1308" s="6"/>
      <c r="K1308" s="6"/>
      <c r="L1308" s="6"/>
      <c r="M1308" s="6"/>
      <c r="N1308" s="6"/>
      <c r="O1308" s="6"/>
    </row>
    <row r="1309" spans="1:15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</row>
    <row r="1310" spans="1:15" ht="12.75">
      <c r="A1310" s="6"/>
      <c r="B1310" s="8" t="s">
        <v>475</v>
      </c>
      <c r="C1310" s="12">
        <v>763.86</v>
      </c>
      <c r="D1310" s="6"/>
      <c r="E1310" s="12">
        <v>0</v>
      </c>
      <c r="F1310" s="6"/>
      <c r="G1310" s="6"/>
      <c r="H1310" s="6"/>
      <c r="I1310" s="6"/>
      <c r="J1310" s="6"/>
      <c r="K1310" s="6"/>
      <c r="L1310" s="6"/>
      <c r="M1310" s="6"/>
      <c r="N1310" s="6"/>
      <c r="O1310" s="6"/>
    </row>
    <row r="1311" spans="1:15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</row>
    <row r="1312" spans="1:15" ht="12.75">
      <c r="A1312" s="6"/>
      <c r="B1312" s="8" t="s">
        <v>476</v>
      </c>
      <c r="C1312" s="12">
        <f>C1308-C1310</f>
        <v>41108.18</v>
      </c>
      <c r="D1312" s="6"/>
      <c r="E1312" s="12">
        <f>E1308-E1310</f>
        <v>6774.5</v>
      </c>
      <c r="F1312" s="6"/>
      <c r="G1312" s="6"/>
      <c r="H1312" s="6"/>
      <c r="I1312" s="6"/>
      <c r="J1312" s="6"/>
      <c r="K1312" s="6"/>
      <c r="L1312" s="6"/>
      <c r="M1312" s="6"/>
      <c r="N1312" s="6"/>
      <c r="O1312" s="6"/>
    </row>
    <row r="1313" spans="1:15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</row>
    <row r="1314" spans="1:15" ht="12.75">
      <c r="A1314" s="6"/>
      <c r="B1314" s="8" t="s">
        <v>477</v>
      </c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</row>
    <row r="1315" spans="1:15" ht="12.75">
      <c r="A1315" s="6"/>
      <c r="B1315" s="9" t="s">
        <v>419</v>
      </c>
      <c r="C1315" s="9" t="s">
        <v>419</v>
      </c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</row>
    <row r="1316" spans="1:15" ht="12.75">
      <c r="A1316" s="6"/>
      <c r="B1316" s="6"/>
      <c r="C1316" s="8" t="s">
        <v>425</v>
      </c>
      <c r="D1316" s="6"/>
      <c r="E1316" s="8" t="s">
        <v>426</v>
      </c>
      <c r="F1316" s="6"/>
      <c r="G1316" s="6"/>
      <c r="H1316" s="6"/>
      <c r="I1316" s="6"/>
      <c r="J1316" s="6"/>
      <c r="K1316" s="6"/>
      <c r="L1316" s="6"/>
      <c r="M1316" s="6"/>
      <c r="N1316" s="6"/>
      <c r="O1316" s="6"/>
    </row>
    <row r="1317" spans="1:15" ht="12.75">
      <c r="A1317" s="6"/>
      <c r="B1317" s="6"/>
      <c r="C1317" s="9" t="s">
        <v>419</v>
      </c>
      <c r="D1317" s="6"/>
      <c r="E1317" s="9" t="s">
        <v>419</v>
      </c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1:15" ht="12.75">
      <c r="A1318" s="6"/>
      <c r="B1318" s="8" t="s">
        <v>478</v>
      </c>
      <c r="C1318" s="12">
        <v>74</v>
      </c>
      <c r="D1318" s="6"/>
      <c r="E1318" s="12">
        <v>121</v>
      </c>
      <c r="F1318" s="6"/>
      <c r="G1318" s="6"/>
      <c r="H1318" s="6"/>
      <c r="I1318" s="6"/>
      <c r="J1318" s="6"/>
      <c r="K1318" s="6"/>
      <c r="L1318" s="6"/>
      <c r="M1318" s="6"/>
      <c r="N1318" s="6"/>
      <c r="O1318" s="6"/>
    </row>
    <row r="1319" spans="1:15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</row>
    <row r="1320" spans="1:15" ht="12.75">
      <c r="A1320" s="6"/>
      <c r="B1320" s="8" t="s">
        <v>482</v>
      </c>
      <c r="C1320" s="12">
        <v>49</v>
      </c>
      <c r="D1320" s="6"/>
      <c r="E1320" s="12">
        <v>49</v>
      </c>
      <c r="F1320" s="6"/>
      <c r="G1320" s="6"/>
      <c r="H1320" s="6"/>
      <c r="I1320" s="6"/>
      <c r="J1320" s="6"/>
      <c r="K1320" s="6"/>
      <c r="L1320" s="6"/>
      <c r="M1320" s="6"/>
      <c r="N1320" s="6"/>
      <c r="O1320" s="6"/>
    </row>
    <row r="1321" spans="1:15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</row>
    <row r="1322" spans="1:15" ht="12.75">
      <c r="A1322" s="6"/>
      <c r="B1322" s="8" t="s">
        <v>23</v>
      </c>
      <c r="C1322" s="12">
        <f>C1318+C1320</f>
        <v>123</v>
      </c>
      <c r="D1322" s="6"/>
      <c r="E1322" s="12">
        <f>E1318+E1320</f>
        <v>170</v>
      </c>
      <c r="F1322" s="6"/>
      <c r="G1322" s="6"/>
      <c r="H1322" s="6"/>
      <c r="I1322" s="6"/>
      <c r="J1322" s="6"/>
      <c r="K1322" s="6"/>
      <c r="L1322" s="6"/>
      <c r="M1322" s="6"/>
      <c r="N1322" s="6"/>
      <c r="O1322" s="6"/>
    </row>
    <row r="1323" spans="1:15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</row>
    <row r="1324" spans="1:15" ht="12.75">
      <c r="A1324" s="6"/>
      <c r="B1324" s="8" t="s">
        <v>480</v>
      </c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</row>
    <row r="1325" spans="1:15" ht="12.75">
      <c r="A1325" s="6"/>
      <c r="B1325" s="9" t="s">
        <v>419</v>
      </c>
      <c r="C1325" s="9" t="s">
        <v>419</v>
      </c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</row>
    <row r="1326" spans="1:15" ht="12.75">
      <c r="A1326" s="6"/>
      <c r="B1326" s="6"/>
      <c r="C1326" s="8" t="s">
        <v>425</v>
      </c>
      <c r="D1326" s="6"/>
      <c r="E1326" s="8" t="s">
        <v>426</v>
      </c>
      <c r="F1326" s="6"/>
      <c r="G1326" s="6"/>
      <c r="H1326" s="6"/>
      <c r="I1326" s="6"/>
      <c r="J1326" s="6"/>
      <c r="K1326" s="6"/>
      <c r="L1326" s="6"/>
      <c r="M1326" s="6"/>
      <c r="N1326" s="6"/>
      <c r="O1326" s="6"/>
    </row>
    <row r="1327" spans="1:15" ht="12.75">
      <c r="A1327" s="6"/>
      <c r="B1327" s="6"/>
      <c r="C1327" s="9" t="s">
        <v>419</v>
      </c>
      <c r="D1327" s="6"/>
      <c r="E1327" s="9" t="s">
        <v>419</v>
      </c>
      <c r="F1327" s="6"/>
      <c r="G1327" s="6"/>
      <c r="H1327" s="6"/>
      <c r="I1327" s="6"/>
      <c r="J1327" s="6"/>
      <c r="K1327" s="6"/>
      <c r="L1327" s="6"/>
      <c r="M1327" s="6"/>
      <c r="N1327" s="6"/>
      <c r="O1327" s="6"/>
    </row>
    <row r="1328" spans="1:15" ht="12.75">
      <c r="A1328" s="6"/>
      <c r="B1328" s="8" t="s">
        <v>481</v>
      </c>
      <c r="C1328" s="12">
        <v>827</v>
      </c>
      <c r="D1328" s="6"/>
      <c r="E1328" s="12">
        <f>C1328</f>
        <v>827</v>
      </c>
      <c r="F1328" s="6"/>
      <c r="G1328" s="6"/>
      <c r="H1328" s="6"/>
      <c r="I1328" s="6"/>
      <c r="J1328" s="6"/>
      <c r="K1328" s="6"/>
      <c r="L1328" s="6"/>
      <c r="M1328" s="6"/>
      <c r="N1328" s="6"/>
      <c r="O1328" s="6"/>
    </row>
    <row r="1329" spans="1:15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</row>
    <row r="1330" spans="1:15" ht="12.75">
      <c r="A1330" s="6"/>
      <c r="B1330" s="8" t="s">
        <v>478</v>
      </c>
      <c r="C1330" s="12">
        <v>31760</v>
      </c>
      <c r="D1330" s="6"/>
      <c r="E1330" s="12">
        <v>31779</v>
      </c>
      <c r="F1330" s="6"/>
      <c r="G1330" s="6"/>
      <c r="H1330" s="6"/>
      <c r="I1330" s="6"/>
      <c r="J1330" s="6"/>
      <c r="K1330" s="6"/>
      <c r="L1330" s="6"/>
      <c r="M1330" s="6"/>
      <c r="N1330" s="6"/>
      <c r="O1330" s="6"/>
    </row>
    <row r="1331" spans="1:15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</row>
    <row r="1332" spans="1:15" ht="12.75">
      <c r="A1332" s="6"/>
      <c r="B1332" s="8" t="s">
        <v>482</v>
      </c>
      <c r="C1332" s="12">
        <v>6003</v>
      </c>
      <c r="D1332" s="6"/>
      <c r="E1332" s="12">
        <v>6003</v>
      </c>
      <c r="F1332" s="6"/>
      <c r="G1332" s="6"/>
      <c r="H1332" s="6"/>
      <c r="I1332" s="6"/>
      <c r="J1332" s="6"/>
      <c r="K1332" s="6"/>
      <c r="L1332" s="6"/>
      <c r="M1332" s="6"/>
      <c r="N1332" s="6"/>
      <c r="O1332" s="6"/>
    </row>
    <row r="1333" spans="1:15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</row>
    <row r="1334" spans="1:15" ht="12.75">
      <c r="A1334" s="6"/>
      <c r="B1334" s="8" t="s">
        <v>23</v>
      </c>
      <c r="C1334" s="12">
        <f>(C1328+C1330+C1332)</f>
        <v>38590</v>
      </c>
      <c r="D1334" s="6"/>
      <c r="E1334" s="12">
        <f>E1328+E1330+E1332</f>
        <v>38609</v>
      </c>
      <c r="F1334" s="6"/>
      <c r="G1334" s="6"/>
      <c r="H1334" s="6"/>
      <c r="I1334" s="6"/>
      <c r="J1334" s="6"/>
      <c r="K1334" s="6"/>
      <c r="L1334" s="6"/>
      <c r="M1334" s="6"/>
      <c r="N1334" s="6"/>
      <c r="O1334" s="6"/>
    </row>
    <row r="1335" spans="1:15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1:15" ht="12.75">
      <c r="A1336" s="6"/>
      <c r="B1336" s="8" t="s">
        <v>483</v>
      </c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</row>
    <row r="1337" spans="1:15" ht="12.75">
      <c r="A1337" s="6"/>
      <c r="B1337" s="9" t="s">
        <v>419</v>
      </c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</row>
    <row r="1338" spans="1:15" ht="12.75">
      <c r="A1338" s="6"/>
      <c r="B1338" s="6"/>
      <c r="C1338" s="8" t="s">
        <v>425</v>
      </c>
      <c r="D1338" s="6"/>
      <c r="E1338" s="8" t="s">
        <v>426</v>
      </c>
      <c r="F1338" s="6"/>
      <c r="G1338" s="6"/>
      <c r="H1338" s="6"/>
      <c r="I1338" s="6"/>
      <c r="J1338" s="6"/>
      <c r="K1338" s="6"/>
      <c r="L1338" s="6"/>
      <c r="M1338" s="6"/>
      <c r="N1338" s="6"/>
      <c r="O1338" s="6"/>
    </row>
    <row r="1339" spans="1:15" ht="12.75">
      <c r="A1339" s="6"/>
      <c r="B1339" s="6"/>
      <c r="C1339" s="9" t="s">
        <v>419</v>
      </c>
      <c r="D1339" s="6"/>
      <c r="E1339" s="9" t="s">
        <v>419</v>
      </c>
      <c r="F1339" s="6"/>
      <c r="G1339" s="6"/>
      <c r="H1339" s="6"/>
      <c r="I1339" s="6"/>
      <c r="J1339" s="6"/>
      <c r="K1339" s="6"/>
      <c r="L1339" s="6"/>
      <c r="M1339" s="6"/>
      <c r="N1339" s="6"/>
      <c r="O1339" s="6"/>
    </row>
    <row r="1340" spans="1:15" ht="12.75">
      <c r="A1340" s="6"/>
      <c r="B1340" s="8" t="s">
        <v>484</v>
      </c>
      <c r="C1340" s="12">
        <f>C1328+C1332</f>
        <v>6830</v>
      </c>
      <c r="D1340" s="6"/>
      <c r="E1340" s="12">
        <f>E1328+E1332</f>
        <v>6830</v>
      </c>
      <c r="F1340" s="6"/>
      <c r="G1340" s="6"/>
      <c r="H1340" s="6"/>
      <c r="I1340" s="6"/>
      <c r="J1340" s="6"/>
      <c r="K1340" s="6"/>
      <c r="L1340" s="6"/>
      <c r="M1340" s="6"/>
      <c r="N1340" s="6"/>
      <c r="O1340" s="6"/>
    </row>
    <row r="1341" spans="1:15" ht="12.75">
      <c r="A1341" s="6"/>
      <c r="B1341" s="8" t="s">
        <v>485</v>
      </c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</row>
    <row r="1342" spans="1:15" ht="12.75">
      <c r="A1342" s="6"/>
      <c r="B1342" s="8" t="s">
        <v>478</v>
      </c>
      <c r="C1342" s="12">
        <f>C1330</f>
        <v>31760</v>
      </c>
      <c r="D1342" s="6"/>
      <c r="E1342" s="12">
        <f>E1330</f>
        <v>31779</v>
      </c>
      <c r="F1342" s="6"/>
      <c r="G1342" s="6"/>
      <c r="H1342" s="6"/>
      <c r="I1342" s="6"/>
      <c r="J1342" s="6"/>
      <c r="K1342" s="6"/>
      <c r="L1342" s="6"/>
      <c r="M1342" s="6"/>
      <c r="N1342" s="6"/>
      <c r="O1342" s="6"/>
    </row>
    <row r="1343" spans="1:15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</row>
    <row r="1344" spans="1:15" ht="12.75">
      <c r="A1344" s="6"/>
      <c r="B1344" s="8" t="s">
        <v>23</v>
      </c>
      <c r="C1344" s="12">
        <f>C1340+C1342</f>
        <v>38590</v>
      </c>
      <c r="D1344" s="6"/>
      <c r="E1344" s="12">
        <f>E1340+E1342</f>
        <v>38609</v>
      </c>
      <c r="F1344" s="6"/>
      <c r="G1344" s="6"/>
      <c r="H1344" s="6"/>
      <c r="I1344" s="6"/>
      <c r="J1344" s="6"/>
      <c r="K1344" s="6"/>
      <c r="L1344" s="6"/>
      <c r="M1344" s="6"/>
      <c r="N1344" s="6"/>
      <c r="O1344" s="6"/>
    </row>
    <row r="1345" spans="1:15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</row>
    <row r="1346" spans="1:15" ht="12.75">
      <c r="A1346" s="6"/>
      <c r="B1346" s="8" t="s">
        <v>486</v>
      </c>
      <c r="C1346" s="6"/>
      <c r="D1346" s="6"/>
      <c r="E1346" s="13">
        <v>0.26</v>
      </c>
      <c r="F1346" s="6"/>
      <c r="G1346" s="6"/>
      <c r="H1346" s="8" t="s">
        <v>681</v>
      </c>
      <c r="I1346" s="6"/>
      <c r="J1346" s="6"/>
      <c r="K1346" s="6"/>
      <c r="L1346" s="6"/>
      <c r="M1346" s="6"/>
      <c r="N1346" s="6"/>
      <c r="O1346" s="6"/>
    </row>
    <row r="1347" spans="1:15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</row>
    <row r="1348" spans="1:15" ht="12.75">
      <c r="A1348" s="6"/>
      <c r="B1348" s="8" t="s">
        <v>488</v>
      </c>
      <c r="C1348" s="6"/>
      <c r="D1348" s="6"/>
      <c r="E1348" s="13">
        <v>0.27</v>
      </c>
      <c r="F1348" s="6"/>
      <c r="G1348" s="6"/>
      <c r="H1348" s="8" t="s">
        <v>682</v>
      </c>
      <c r="I1348" s="6"/>
      <c r="J1348" s="6"/>
      <c r="K1348" s="6"/>
      <c r="L1348" s="6"/>
      <c r="M1348" s="6"/>
      <c r="N1348" s="6"/>
      <c r="O1348" s="6"/>
    </row>
    <row r="1349" spans="1:15" ht="12.75">
      <c r="A1349" s="8" t="s">
        <v>467</v>
      </c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</row>
    <row r="1350" spans="1:15" ht="12.75">
      <c r="A1350" s="6"/>
      <c r="B1350" s="8" t="s">
        <v>490</v>
      </c>
      <c r="C1350" s="6"/>
      <c r="D1350" s="6"/>
      <c r="E1350" s="6"/>
      <c r="F1350" s="6"/>
      <c r="G1350" s="6"/>
      <c r="H1350" s="8" t="s">
        <v>491</v>
      </c>
      <c r="I1350" s="6"/>
      <c r="J1350" s="6"/>
      <c r="K1350" s="6"/>
      <c r="L1350" s="6"/>
      <c r="M1350" s="6"/>
      <c r="N1350" s="6"/>
      <c r="O1350" s="6"/>
    </row>
    <row r="1351" spans="1:15" ht="12.75">
      <c r="A1351" s="6"/>
      <c r="B1351" s="9" t="s">
        <v>419</v>
      </c>
      <c r="C1351" s="9" t="s">
        <v>419</v>
      </c>
      <c r="D1351" s="9" t="s">
        <v>419</v>
      </c>
      <c r="E1351" s="9" t="s">
        <v>419</v>
      </c>
      <c r="F1351" s="9" t="s">
        <v>419</v>
      </c>
      <c r="G1351" s="6"/>
      <c r="H1351" s="9" t="s">
        <v>419</v>
      </c>
      <c r="I1351" s="6"/>
      <c r="J1351" s="6"/>
      <c r="K1351" s="6"/>
      <c r="L1351" s="6"/>
      <c r="M1351" s="6"/>
      <c r="N1351" s="6"/>
      <c r="O1351" s="6"/>
    </row>
    <row r="1352" spans="1:15" ht="12.75">
      <c r="A1352" s="6"/>
      <c r="B1352" s="9" t="s">
        <v>419</v>
      </c>
      <c r="C1352" s="9" t="s">
        <v>419</v>
      </c>
      <c r="D1352" s="9" t="s">
        <v>419</v>
      </c>
      <c r="E1352" s="9" t="s">
        <v>419</v>
      </c>
      <c r="F1352" s="9" t="s">
        <v>419</v>
      </c>
      <c r="G1352" s="9" t="s">
        <v>419</v>
      </c>
      <c r="H1352" s="9" t="s">
        <v>419</v>
      </c>
      <c r="I1352" s="9" t="s">
        <v>419</v>
      </c>
      <c r="J1352" s="9" t="s">
        <v>419</v>
      </c>
      <c r="K1352" s="9" t="s">
        <v>419</v>
      </c>
      <c r="L1352" s="9" t="s">
        <v>419</v>
      </c>
      <c r="M1352" s="9" t="s">
        <v>419</v>
      </c>
      <c r="N1352" s="9" t="s">
        <v>419</v>
      </c>
      <c r="O1352" s="6"/>
    </row>
    <row r="1353" spans="1:15" ht="12.75">
      <c r="A1353" s="6"/>
      <c r="B1353" s="6"/>
      <c r="C1353" s="6"/>
      <c r="D1353" s="6"/>
      <c r="E1353" s="6"/>
      <c r="F1353" s="6"/>
      <c r="G1353" s="6"/>
      <c r="H1353" s="6"/>
      <c r="I1353" s="6"/>
      <c r="J1353" s="8" t="s">
        <v>492</v>
      </c>
      <c r="K1353" s="6"/>
      <c r="L1353" s="6"/>
      <c r="M1353" s="6"/>
      <c r="N1353" s="6"/>
      <c r="O1353" s="6"/>
    </row>
    <row r="1354" spans="1:15" ht="12.75">
      <c r="A1354" s="6"/>
      <c r="B1354" s="6"/>
      <c r="C1354" s="6"/>
      <c r="D1354" s="8" t="s">
        <v>493</v>
      </c>
      <c r="E1354" s="6"/>
      <c r="F1354" s="6"/>
      <c r="G1354" s="6"/>
      <c r="H1354" s="6"/>
      <c r="I1354" s="6"/>
      <c r="J1354" s="9" t="s">
        <v>419</v>
      </c>
      <c r="K1354" s="9" t="s">
        <v>419</v>
      </c>
      <c r="L1354" s="9" t="s">
        <v>419</v>
      </c>
      <c r="M1354" s="6"/>
      <c r="N1354" s="6"/>
      <c r="O1354" s="6"/>
    </row>
    <row r="1355" spans="1:15" ht="12.75">
      <c r="A1355" s="6"/>
      <c r="B1355" s="6"/>
      <c r="C1355" s="6"/>
      <c r="D1355" s="6"/>
      <c r="E1355" s="6"/>
      <c r="F1355" s="6"/>
      <c r="G1355" s="6"/>
      <c r="H1355" s="12" t="str">
        <f>H1346</f>
        <v>At 26%</v>
      </c>
      <c r="I1355" s="8" t="s">
        <v>494</v>
      </c>
      <c r="J1355" s="6"/>
      <c r="K1355" s="6"/>
      <c r="L1355" s="12" t="str">
        <f>H1348</f>
        <v>At 27%</v>
      </c>
      <c r="M1355" s="8" t="s">
        <v>494</v>
      </c>
      <c r="N1355" s="6"/>
      <c r="O1355" s="6"/>
    </row>
    <row r="1356" spans="1:15" ht="12.75">
      <c r="A1356" s="6"/>
      <c r="B1356" s="6"/>
      <c r="C1356" s="6"/>
      <c r="D1356" s="9" t="s">
        <v>419</v>
      </c>
      <c r="E1356" s="9" t="s">
        <v>419</v>
      </c>
      <c r="F1356" s="8" t="s">
        <v>495</v>
      </c>
      <c r="G1356" s="8" t="s">
        <v>438</v>
      </c>
      <c r="H1356" s="9" t="s">
        <v>419</v>
      </c>
      <c r="I1356" s="9" t="s">
        <v>419</v>
      </c>
      <c r="J1356" s="9" t="s">
        <v>419</v>
      </c>
      <c r="K1356" s="6"/>
      <c r="L1356" s="9" t="s">
        <v>419</v>
      </c>
      <c r="M1356" s="9" t="s">
        <v>419</v>
      </c>
      <c r="N1356" s="9" t="s">
        <v>419</v>
      </c>
      <c r="O1356" s="6"/>
    </row>
    <row r="1357" spans="1:15" ht="12.75">
      <c r="A1357" s="6"/>
      <c r="B1357" s="8" t="s">
        <v>12</v>
      </c>
      <c r="C1357" s="8" t="s">
        <v>12</v>
      </c>
      <c r="D1357" s="8" t="s">
        <v>496</v>
      </c>
      <c r="E1357" s="8" t="s">
        <v>497</v>
      </c>
      <c r="F1357" s="10" t="s">
        <v>498</v>
      </c>
      <c r="G1357" s="10" t="s">
        <v>426</v>
      </c>
      <c r="H1357" s="11" t="s">
        <v>499</v>
      </c>
      <c r="I1357" s="11" t="s">
        <v>500</v>
      </c>
      <c r="J1357" s="11" t="s">
        <v>426</v>
      </c>
      <c r="K1357" s="6"/>
      <c r="L1357" s="11" t="s">
        <v>499</v>
      </c>
      <c r="M1357" s="11" t="s">
        <v>500</v>
      </c>
      <c r="N1357" s="11" t="s">
        <v>426</v>
      </c>
      <c r="O1357" s="6"/>
    </row>
    <row r="1358" spans="1:15" ht="12.75">
      <c r="A1358" s="6"/>
      <c r="B1358" s="9" t="s">
        <v>419</v>
      </c>
      <c r="C1358" s="9" t="s">
        <v>419</v>
      </c>
      <c r="D1358" s="9" t="s">
        <v>419</v>
      </c>
      <c r="E1358" s="9" t="s">
        <v>419</v>
      </c>
      <c r="F1358" s="9" t="s">
        <v>419</v>
      </c>
      <c r="G1358" s="9" t="s">
        <v>419</v>
      </c>
      <c r="H1358" s="9" t="s">
        <v>419</v>
      </c>
      <c r="I1358" s="9" t="s">
        <v>419</v>
      </c>
      <c r="J1358" s="9" t="s">
        <v>419</v>
      </c>
      <c r="K1358" s="6"/>
      <c r="L1358" s="9" t="s">
        <v>419</v>
      </c>
      <c r="M1358" s="9" t="s">
        <v>419</v>
      </c>
      <c r="N1358" s="9" t="s">
        <v>419</v>
      </c>
      <c r="O1358" s="6"/>
    </row>
    <row r="1359" spans="1:15" ht="12.75">
      <c r="A1359" s="6"/>
      <c r="B1359" s="8" t="s">
        <v>683</v>
      </c>
      <c r="C1359" s="12">
        <v>4</v>
      </c>
      <c r="D1359" s="12">
        <v>244.42</v>
      </c>
      <c r="E1359" s="12">
        <v>0</v>
      </c>
      <c r="F1359" s="12">
        <f aca="true" t="shared" si="82" ref="F1359:F1365">D1359-E1359</f>
        <v>244.42</v>
      </c>
      <c r="G1359" s="12">
        <f>$E$67*0.2</f>
        <v>0</v>
      </c>
      <c r="H1359" s="15">
        <f>ROUND((1+$E$101)^C1359,4)</f>
        <v>1</v>
      </c>
      <c r="I1359" s="12">
        <f aca="true" t="shared" si="83" ref="I1359:I1364">F1359*H1359</f>
        <v>244.42</v>
      </c>
      <c r="J1359" s="12">
        <f aca="true" t="shared" si="84" ref="J1359:J1364">G1359*H1359</f>
        <v>0</v>
      </c>
      <c r="K1359" s="6"/>
      <c r="L1359" s="15">
        <f>ROUND((1+$E$103)^C1359,4)</f>
        <v>1</v>
      </c>
      <c r="M1359" s="12">
        <f aca="true" t="shared" si="85" ref="M1359:M1364">F1359*L1359</f>
        <v>244.42</v>
      </c>
      <c r="N1359" s="12">
        <f aca="true" t="shared" si="86" ref="N1359:N1364">G1359*L1359</f>
        <v>0</v>
      </c>
      <c r="O1359" s="6"/>
    </row>
    <row r="1360" spans="1:15" ht="12.75">
      <c r="A1360" s="6"/>
      <c r="B1360" s="8" t="s">
        <v>684</v>
      </c>
      <c r="C1360" s="12">
        <v>3</v>
      </c>
      <c r="D1360" s="12">
        <v>669.75</v>
      </c>
      <c r="E1360" s="12">
        <v>0</v>
      </c>
      <c r="F1360" s="12">
        <f t="shared" si="82"/>
        <v>669.75</v>
      </c>
      <c r="G1360" s="12">
        <f>$E$67*0.2</f>
        <v>0</v>
      </c>
      <c r="H1360" s="15">
        <f>ROUND((1+$E$101)^C1360,4)</f>
        <v>1</v>
      </c>
      <c r="I1360" s="12">
        <f t="shared" si="83"/>
        <v>669.75</v>
      </c>
      <c r="J1360" s="12">
        <f t="shared" si="84"/>
        <v>0</v>
      </c>
      <c r="K1360" s="6"/>
      <c r="L1360" s="15">
        <f>ROUND((1+$E$103)^C1360,4)</f>
        <v>1</v>
      </c>
      <c r="M1360" s="12">
        <f t="shared" si="85"/>
        <v>669.75</v>
      </c>
      <c r="N1360" s="12">
        <f t="shared" si="86"/>
        <v>0</v>
      </c>
      <c r="O1360" s="6"/>
    </row>
    <row r="1361" spans="1:15" ht="12.75">
      <c r="A1361" s="6"/>
      <c r="B1361" s="8" t="s">
        <v>685</v>
      </c>
      <c r="C1361" s="12">
        <v>2</v>
      </c>
      <c r="D1361" s="12">
        <v>1864.56</v>
      </c>
      <c r="E1361" s="12">
        <v>0</v>
      </c>
      <c r="F1361" s="12">
        <f t="shared" si="82"/>
        <v>1864.56</v>
      </c>
      <c r="G1361" s="12">
        <f>$E$67*0.2</f>
        <v>0</v>
      </c>
      <c r="H1361" s="15">
        <f>ROUND((1+$E$101)^C1361,4)</f>
        <v>1</v>
      </c>
      <c r="I1361" s="12">
        <f t="shared" si="83"/>
        <v>1864.56</v>
      </c>
      <c r="J1361" s="12">
        <f t="shared" si="84"/>
        <v>0</v>
      </c>
      <c r="K1361" s="6"/>
      <c r="L1361" s="15">
        <f>ROUND((1+$E$103)^C1361,4)</f>
        <v>1</v>
      </c>
      <c r="M1361" s="12">
        <f t="shared" si="85"/>
        <v>1864.56</v>
      </c>
      <c r="N1361" s="12">
        <f t="shared" si="86"/>
        <v>0</v>
      </c>
      <c r="O1361" s="6"/>
    </row>
    <row r="1362" spans="1:15" ht="12.75">
      <c r="A1362" s="6"/>
      <c r="B1362" s="8" t="s">
        <v>686</v>
      </c>
      <c r="C1362" s="12">
        <v>1</v>
      </c>
      <c r="D1362" s="12">
        <v>310.97</v>
      </c>
      <c r="E1362" s="12">
        <v>0</v>
      </c>
      <c r="F1362" s="12">
        <f t="shared" si="82"/>
        <v>310.97</v>
      </c>
      <c r="G1362" s="12">
        <f>$E$67*0.4</f>
        <v>0</v>
      </c>
      <c r="H1362" s="15">
        <f>ROUND((1+$E$101)^C1362,4)</f>
        <v>1</v>
      </c>
      <c r="I1362" s="12">
        <f t="shared" si="83"/>
        <v>310.97</v>
      </c>
      <c r="J1362" s="12">
        <f t="shared" si="84"/>
        <v>0</v>
      </c>
      <c r="K1362" s="6"/>
      <c r="L1362" s="15">
        <f>ROUND((1+$E$103)^C1362,4)</f>
        <v>1</v>
      </c>
      <c r="M1362" s="12">
        <f t="shared" si="85"/>
        <v>310.97</v>
      </c>
      <c r="N1362" s="12">
        <f t="shared" si="86"/>
        <v>0</v>
      </c>
      <c r="O1362" s="6"/>
    </row>
    <row r="1363" spans="1:15" ht="12.75">
      <c r="A1363" s="6"/>
      <c r="B1363" s="11" t="s">
        <v>687</v>
      </c>
      <c r="C1363" s="12">
        <v>0</v>
      </c>
      <c r="D1363" s="12">
        <v>231.54</v>
      </c>
      <c r="E1363" s="12">
        <f>$C$65*0.4</f>
        <v>0</v>
      </c>
      <c r="F1363" s="12">
        <f t="shared" si="82"/>
        <v>231.54</v>
      </c>
      <c r="G1363" s="12">
        <f>$E$67*0.4</f>
        <v>0</v>
      </c>
      <c r="H1363" s="15">
        <f>ROUND((1+$E$101)^C1363,4)</f>
        <v>1</v>
      </c>
      <c r="I1363" s="12">
        <f t="shared" si="83"/>
        <v>231.54</v>
      </c>
      <c r="J1363" s="12">
        <f t="shared" si="84"/>
        <v>0</v>
      </c>
      <c r="K1363" s="6"/>
      <c r="L1363" s="15">
        <f>ROUND((1+$E$103)^C1363,4)</f>
        <v>1</v>
      </c>
      <c r="M1363" s="12">
        <f t="shared" si="85"/>
        <v>231.54</v>
      </c>
      <c r="N1363" s="12">
        <f t="shared" si="86"/>
        <v>0</v>
      </c>
      <c r="O1363" s="6"/>
    </row>
    <row r="1364" spans="1:15" ht="12.75">
      <c r="A1364" s="6"/>
      <c r="B1364" s="8" t="s">
        <v>688</v>
      </c>
      <c r="C1364" s="12">
        <v>1</v>
      </c>
      <c r="D1364" s="12">
        <f>(C1308-SUM(D1359:D1363))/2</f>
        <v>19275.4</v>
      </c>
      <c r="E1364" s="12">
        <f>$C$65*0.6</f>
        <v>0</v>
      </c>
      <c r="F1364" s="12">
        <f t="shared" si="82"/>
        <v>19275.4</v>
      </c>
      <c r="G1364" s="12">
        <v>0</v>
      </c>
      <c r="H1364" s="15">
        <f>ROUND((1/((1+$E$101)^C1364)),4)</f>
        <v>1</v>
      </c>
      <c r="I1364" s="12">
        <f t="shared" si="83"/>
        <v>19275.4</v>
      </c>
      <c r="J1364" s="12">
        <f t="shared" si="84"/>
        <v>0</v>
      </c>
      <c r="K1364" s="6"/>
      <c r="L1364" s="15">
        <f>ROUND((1/((1+$E$103)^C1364)),4)</f>
        <v>1</v>
      </c>
      <c r="M1364" s="12">
        <f t="shared" si="85"/>
        <v>19275.4</v>
      </c>
      <c r="N1364" s="12">
        <f t="shared" si="86"/>
        <v>0</v>
      </c>
      <c r="O1364" s="6"/>
    </row>
    <row r="1365" spans="1:15" ht="12.75">
      <c r="A1365" s="6"/>
      <c r="B1365" s="8" t="s">
        <v>689</v>
      </c>
      <c r="C1365" s="6">
        <v>2</v>
      </c>
      <c r="D1365" s="12">
        <f>C1308-SUM(D1359:D1364)</f>
        <v>19275.4</v>
      </c>
      <c r="E1365" s="6">
        <v>0</v>
      </c>
      <c r="F1365" s="12">
        <f t="shared" si="82"/>
        <v>19275.4</v>
      </c>
      <c r="G1365" s="12">
        <v>0</v>
      </c>
      <c r="H1365" s="15">
        <f>ROUND((1/((1+$E$101)^C1365)),4)</f>
        <v>1</v>
      </c>
      <c r="I1365" s="12">
        <f>F1365*H1365</f>
        <v>19275.4</v>
      </c>
      <c r="J1365" s="12">
        <f>G1365*H1365</f>
        <v>0</v>
      </c>
      <c r="K1365" s="6"/>
      <c r="L1365" s="15">
        <f>ROUND((1/((1+$E$103)^C1365)),4)</f>
        <v>1</v>
      </c>
      <c r="M1365" s="12">
        <f>F1365*L1365</f>
        <v>19275.4</v>
      </c>
      <c r="N1365" s="12">
        <f>G1365*L1365</f>
        <v>0</v>
      </c>
      <c r="O1365" s="6"/>
    </row>
    <row r="1366" spans="1:15" ht="12.75">
      <c r="A1366" s="6"/>
      <c r="B1366" s="8" t="s">
        <v>508</v>
      </c>
      <c r="C1366" s="6"/>
      <c r="D1366" s="12"/>
      <c r="E1366" s="6"/>
      <c r="F1366" s="12"/>
      <c r="G1366" s="12"/>
      <c r="H1366" s="15"/>
      <c r="I1366" s="12"/>
      <c r="J1366" s="12"/>
      <c r="K1366" s="6"/>
      <c r="L1366" s="15"/>
      <c r="M1366" s="12"/>
      <c r="N1366" s="12"/>
      <c r="O1366" s="6"/>
    </row>
    <row r="1367" spans="1:15" ht="12.75">
      <c r="A1367" s="6"/>
      <c r="B1367" s="8" t="s">
        <v>509</v>
      </c>
      <c r="C1367" s="12">
        <v>21</v>
      </c>
      <c r="D1367" s="12">
        <f>(F1498+F1501)</f>
        <v>23.020000000000003</v>
      </c>
      <c r="E1367" s="12">
        <v>0</v>
      </c>
      <c r="F1367" s="12">
        <f>D1367-E1367</f>
        <v>23.020000000000003</v>
      </c>
      <c r="G1367" s="12">
        <v>0</v>
      </c>
      <c r="H1367" s="15">
        <f>ROUND((1/((1+$E$101)^C1367)),4)</f>
        <v>1</v>
      </c>
      <c r="I1367" s="12">
        <f>F1367*H1367</f>
        <v>23.020000000000003</v>
      </c>
      <c r="J1367" s="12">
        <f>G1367*H1367</f>
        <v>0</v>
      </c>
      <c r="K1367" s="6"/>
      <c r="L1367" s="15">
        <f>ROUND((1/((1+$E$103)^C1367)),4)</f>
        <v>1</v>
      </c>
      <c r="M1367" s="12">
        <f>F1367*L1367</f>
        <v>23.020000000000003</v>
      </c>
      <c r="N1367" s="12">
        <f>G1367*L1367</f>
        <v>0</v>
      </c>
      <c r="O1367" s="6"/>
    </row>
    <row r="1368" spans="1:15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</row>
    <row r="1369" spans="1:15" ht="12.75">
      <c r="A1369" s="6"/>
      <c r="B1369" s="9" t="s">
        <v>419</v>
      </c>
      <c r="C1369" s="9" t="s">
        <v>419</v>
      </c>
      <c r="D1369" s="9" t="s">
        <v>419</v>
      </c>
      <c r="E1369" s="9" t="s">
        <v>419</v>
      </c>
      <c r="F1369" s="9" t="s">
        <v>419</v>
      </c>
      <c r="G1369" s="9" t="s">
        <v>419</v>
      </c>
      <c r="H1369" s="9" t="s">
        <v>419</v>
      </c>
      <c r="I1369" s="9" t="s">
        <v>419</v>
      </c>
      <c r="J1369" s="9" t="s">
        <v>419</v>
      </c>
      <c r="K1369" s="9" t="s">
        <v>419</v>
      </c>
      <c r="L1369" s="9" t="s">
        <v>419</v>
      </c>
      <c r="M1369" s="9" t="s">
        <v>419</v>
      </c>
      <c r="N1369" s="9" t="s">
        <v>419</v>
      </c>
      <c r="O1369" s="8" t="s">
        <v>438</v>
      </c>
    </row>
    <row r="1370" spans="1:15" ht="12.75">
      <c r="A1370" s="6"/>
      <c r="B1370" s="8" t="s">
        <v>23</v>
      </c>
      <c r="C1370" s="6"/>
      <c r="D1370" s="12">
        <f>SUM(D1359:D1365)</f>
        <v>41872.04</v>
      </c>
      <c r="E1370" s="12">
        <f>SUM(E1361:E1364)</f>
        <v>0</v>
      </c>
      <c r="F1370" s="12">
        <f>SUM(F1359:F1365)</f>
        <v>41872.04</v>
      </c>
      <c r="G1370" s="12">
        <f>SUM(G1361:G1364)</f>
        <v>0</v>
      </c>
      <c r="H1370" s="6"/>
      <c r="I1370" s="12">
        <f>SUM(I1359:I1367)</f>
        <v>41895.06</v>
      </c>
      <c r="J1370" s="12">
        <f>SUM(J1359:J1367)</f>
        <v>0</v>
      </c>
      <c r="K1370" s="6"/>
      <c r="L1370" s="6"/>
      <c r="M1370" s="12">
        <f>SUM(M1359:M1367)</f>
        <v>41895.06</v>
      </c>
      <c r="N1370" s="12">
        <f>SUM(N1359:N1367)</f>
        <v>0</v>
      </c>
      <c r="O1370" s="6"/>
    </row>
    <row r="1371" spans="1:15" ht="12.75">
      <c r="A1371" s="6"/>
      <c r="B1371" s="9" t="s">
        <v>419</v>
      </c>
      <c r="C1371" s="9" t="s">
        <v>419</v>
      </c>
      <c r="D1371" s="9" t="s">
        <v>419</v>
      </c>
      <c r="E1371" s="9" t="s">
        <v>419</v>
      </c>
      <c r="F1371" s="9" t="s">
        <v>419</v>
      </c>
      <c r="G1371" s="9" t="s">
        <v>419</v>
      </c>
      <c r="H1371" s="9" t="s">
        <v>419</v>
      </c>
      <c r="I1371" s="9" t="s">
        <v>419</v>
      </c>
      <c r="J1371" s="9" t="s">
        <v>419</v>
      </c>
      <c r="K1371" s="9" t="s">
        <v>419</v>
      </c>
      <c r="L1371" s="9" t="s">
        <v>419</v>
      </c>
      <c r="M1371" s="9" t="s">
        <v>419</v>
      </c>
      <c r="N1371" s="9" t="s">
        <v>419</v>
      </c>
      <c r="O1371" s="6"/>
    </row>
    <row r="1373" spans="2:8" ht="12.75">
      <c r="B1373" s="17" t="s">
        <v>510</v>
      </c>
      <c r="H1373" s="17" t="s">
        <v>511</v>
      </c>
    </row>
    <row r="1374" spans="2:8" ht="12.75">
      <c r="B1374" s="18" t="s">
        <v>419</v>
      </c>
      <c r="C1374" s="18" t="s">
        <v>419</v>
      </c>
      <c r="D1374" s="18" t="s">
        <v>419</v>
      </c>
      <c r="E1374" s="18" t="s">
        <v>419</v>
      </c>
      <c r="H1374" s="18" t="s">
        <v>419</v>
      </c>
    </row>
    <row r="1375" spans="2:13" ht="12.75">
      <c r="B1375" s="18" t="s">
        <v>419</v>
      </c>
      <c r="C1375" s="18" t="s">
        <v>419</v>
      </c>
      <c r="D1375" s="18" t="s">
        <v>419</v>
      </c>
      <c r="E1375" s="18" t="s">
        <v>419</v>
      </c>
      <c r="F1375" s="18" t="s">
        <v>419</v>
      </c>
      <c r="G1375" s="18" t="s">
        <v>419</v>
      </c>
      <c r="H1375" s="18" t="s">
        <v>419</v>
      </c>
      <c r="I1375" s="18" t="s">
        <v>419</v>
      </c>
      <c r="J1375" s="18" t="s">
        <v>419</v>
      </c>
      <c r="K1375" s="18" t="s">
        <v>419</v>
      </c>
      <c r="L1375" s="18" t="s">
        <v>419</v>
      </c>
      <c r="M1375" s="18" t="s">
        <v>419</v>
      </c>
    </row>
    <row r="1376" spans="3:9" ht="12.75">
      <c r="C1376" s="17" t="s">
        <v>512</v>
      </c>
      <c r="E1376" s="19" t="s">
        <v>513</v>
      </c>
      <c r="I1376" s="17" t="s">
        <v>514</v>
      </c>
    </row>
    <row r="1377" spans="2:12" ht="12.75">
      <c r="B1377" s="17" t="s">
        <v>12</v>
      </c>
      <c r="C1377" s="18" t="s">
        <v>419</v>
      </c>
      <c r="D1377" s="18" t="s">
        <v>419</v>
      </c>
      <c r="E1377" s="17" t="s">
        <v>515</v>
      </c>
      <c r="I1377" s="18" t="s">
        <v>419</v>
      </c>
      <c r="J1377" s="18" t="s">
        <v>419</v>
      </c>
      <c r="K1377" s="18" t="s">
        <v>419</v>
      </c>
      <c r="L1377" s="18" t="s">
        <v>419</v>
      </c>
    </row>
    <row r="1378" spans="5:12" ht="12.75">
      <c r="E1378" s="18" t="s">
        <v>419</v>
      </c>
      <c r="F1378" s="17" t="s">
        <v>438</v>
      </c>
      <c r="G1378" s="20" t="str">
        <f>H1346</f>
        <v>At 26%</v>
      </c>
      <c r="H1378" s="17" t="s">
        <v>494</v>
      </c>
      <c r="K1378" s="20" t="str">
        <f>H1348</f>
        <v>At 27%</v>
      </c>
      <c r="L1378" s="17" t="s">
        <v>494</v>
      </c>
    </row>
    <row r="1379" spans="7:13" ht="12.75">
      <c r="G1379" s="18" t="s">
        <v>419</v>
      </c>
      <c r="H1379" s="18" t="s">
        <v>419</v>
      </c>
      <c r="I1379" s="18" t="s">
        <v>419</v>
      </c>
      <c r="K1379" s="18" t="s">
        <v>419</v>
      </c>
      <c r="L1379" s="18" t="s">
        <v>419</v>
      </c>
      <c r="M1379" s="18" t="s">
        <v>419</v>
      </c>
    </row>
    <row r="1380" spans="3:13" ht="12.75">
      <c r="C1380" s="17" t="s">
        <v>496</v>
      </c>
      <c r="D1380" s="17" t="s">
        <v>426</v>
      </c>
      <c r="E1380" s="17" t="s">
        <v>496</v>
      </c>
      <c r="F1380" s="17" t="s">
        <v>426</v>
      </c>
      <c r="G1380" s="21" t="s">
        <v>516</v>
      </c>
      <c r="H1380" s="21" t="s">
        <v>500</v>
      </c>
      <c r="I1380" s="21" t="s">
        <v>426</v>
      </c>
      <c r="K1380" s="21" t="s">
        <v>516</v>
      </c>
      <c r="L1380" s="21" t="s">
        <v>500</v>
      </c>
      <c r="M1380" s="21" t="s">
        <v>426</v>
      </c>
    </row>
    <row r="1381" spans="2:13" ht="12.75">
      <c r="B1381" s="18" t="s">
        <v>419</v>
      </c>
      <c r="C1381" s="18" t="s">
        <v>419</v>
      </c>
      <c r="D1381" s="18" t="s">
        <v>419</v>
      </c>
      <c r="E1381" s="18" t="s">
        <v>419</v>
      </c>
      <c r="F1381" s="18" t="s">
        <v>419</v>
      </c>
      <c r="G1381" s="18" t="s">
        <v>419</v>
      </c>
      <c r="H1381" s="18" t="s">
        <v>419</v>
      </c>
      <c r="I1381" s="18" t="s">
        <v>419</v>
      </c>
      <c r="K1381" s="18" t="s">
        <v>419</v>
      </c>
      <c r="L1381" s="18" t="s">
        <v>419</v>
      </c>
      <c r="M1381" s="18" t="s">
        <v>419</v>
      </c>
    </row>
    <row r="1382" spans="2:13" ht="12.75">
      <c r="B1382" s="20">
        <v>1</v>
      </c>
      <c r="C1382" s="20">
        <f>C1322</f>
        <v>123</v>
      </c>
      <c r="D1382" s="20">
        <f>E1322</f>
        <v>170</v>
      </c>
      <c r="E1382" s="20">
        <f>$G$12*C1318+$G$13*C1320</f>
        <v>13320</v>
      </c>
      <c r="F1382" s="20">
        <f>$H$12*E1318+$H$13*E1320</f>
        <v>21659</v>
      </c>
      <c r="G1382" s="22">
        <f>ROUND((1/((1+$E$101)^B1382)),4)</f>
        <v>1</v>
      </c>
      <c r="H1382" s="20">
        <f>(E1382*G1382)</f>
        <v>13320</v>
      </c>
      <c r="I1382" s="20">
        <f>F1382*G1382</f>
        <v>21659</v>
      </c>
      <c r="K1382" s="22">
        <f>ROUND((1/((1+$E$103)^B1382)),4)</f>
        <v>1</v>
      </c>
      <c r="L1382" s="20">
        <f>E1382*K1382</f>
        <v>13320</v>
      </c>
      <c r="M1382" s="20">
        <f>F1382*K1382</f>
        <v>21659</v>
      </c>
    </row>
    <row r="1383" spans="2:13" ht="12.75">
      <c r="B1383" s="20">
        <v>6</v>
      </c>
      <c r="C1383" s="20">
        <f>C1318*0.15</f>
        <v>11.1</v>
      </c>
      <c r="D1383" s="20">
        <f>E1318*0.15</f>
        <v>18.15</v>
      </c>
      <c r="E1383" s="20">
        <f>$G$12*C1383</f>
        <v>1998</v>
      </c>
      <c r="F1383" s="20">
        <f>$H$12*D1383</f>
        <v>3248.85</v>
      </c>
      <c r="G1383" s="22">
        <f>ROUND((1/((1+$E$101)^B1383)),4)</f>
        <v>1</v>
      </c>
      <c r="H1383" s="20">
        <f>(E1383*G1383)</f>
        <v>1998</v>
      </c>
      <c r="I1383" s="20">
        <f>F1383*G1383</f>
        <v>3248.85</v>
      </c>
      <c r="K1383" s="22">
        <f>ROUND((1/((1+$E$103)^B1383)),4)</f>
        <v>1</v>
      </c>
      <c r="L1383" s="20">
        <f>E1383*K1383</f>
        <v>1998</v>
      </c>
      <c r="M1383" s="20">
        <f>F1383*K1383</f>
        <v>3248.85</v>
      </c>
    </row>
    <row r="1384" spans="2:13" ht="12.75">
      <c r="B1384" s="20">
        <v>11</v>
      </c>
      <c r="C1384" s="20">
        <f>C1318*0.15</f>
        <v>11.1</v>
      </c>
      <c r="D1384" s="20">
        <f>E1318*0.15</f>
        <v>18.15</v>
      </c>
      <c r="E1384" s="20">
        <f>$G$12*C1384</f>
        <v>1998</v>
      </c>
      <c r="F1384" s="20">
        <f>$H$12*D1384</f>
        <v>3248.85</v>
      </c>
      <c r="G1384" s="22">
        <f>ROUND((1/((1+$E$101)^B1384)),4)</f>
        <v>1</v>
      </c>
      <c r="H1384" s="20">
        <f>(E1384*G1384)</f>
        <v>1998</v>
      </c>
      <c r="I1384" s="20">
        <f>F1384*G1384</f>
        <v>3248.85</v>
      </c>
      <c r="K1384" s="22">
        <f>ROUND((1/((1+$E$103)^B1384)),4)</f>
        <v>1</v>
      </c>
      <c r="L1384" s="20">
        <f>E1384*K1384</f>
        <v>1998</v>
      </c>
      <c r="M1384" s="20">
        <f>F1384*K1384</f>
        <v>3248.85</v>
      </c>
    </row>
    <row r="1385" spans="7:11" ht="12.75">
      <c r="G1385" s="23" t="s">
        <v>438</v>
      </c>
      <c r="K1385" s="23" t="s">
        <v>438</v>
      </c>
    </row>
    <row r="1386" spans="2:13" ht="12.75">
      <c r="B1386" s="20">
        <v>19</v>
      </c>
      <c r="C1386" s="20">
        <v>0</v>
      </c>
      <c r="D1386" s="20">
        <f>E1322</f>
        <v>170</v>
      </c>
      <c r="E1386" s="20">
        <f>$G$12*C1386</f>
        <v>0</v>
      </c>
      <c r="F1386" s="20">
        <f>($H$15*0.9)*D1386</f>
        <v>0</v>
      </c>
      <c r="G1386" s="22">
        <f>ROUND((1/((1+$E$101)^B1386)),4)</f>
        <v>1</v>
      </c>
      <c r="H1386" s="20">
        <f>(E1386*G1386)</f>
        <v>0</v>
      </c>
      <c r="I1386" s="20">
        <f>F1386*G1386</f>
        <v>0</v>
      </c>
      <c r="K1386" s="22">
        <f>ROUND((1/((1+$E$103)^B1386)),4)</f>
        <v>1</v>
      </c>
      <c r="L1386" s="20">
        <f>E1386*K1386</f>
        <v>0</v>
      </c>
      <c r="M1386" s="20">
        <f>F1386*K1386</f>
        <v>0</v>
      </c>
    </row>
    <row r="1387" spans="2:13" ht="12.75">
      <c r="B1387" s="20">
        <v>24</v>
      </c>
      <c r="C1387" s="20">
        <v>0</v>
      </c>
      <c r="D1387" s="20">
        <f>E1318*0.15</f>
        <v>18.15</v>
      </c>
      <c r="E1387" s="20">
        <f>$G$12*C1387</f>
        <v>0</v>
      </c>
      <c r="F1387" s="20">
        <f>($H$15*0.9)*D1387</f>
        <v>0</v>
      </c>
      <c r="G1387" s="22">
        <f>ROUND((1/((1+$E$101)^B1387)),4)</f>
        <v>1</v>
      </c>
      <c r="H1387" s="20">
        <f>(E1387*G1387)</f>
        <v>0</v>
      </c>
      <c r="I1387" s="20">
        <f>F1387*G1387</f>
        <v>0</v>
      </c>
      <c r="K1387" s="22">
        <f>ROUND((1/((1+$E$103)^B1387)),4)</f>
        <v>1</v>
      </c>
      <c r="L1387" s="20">
        <f>E1387*K1387</f>
        <v>0</v>
      </c>
      <c r="M1387" s="20">
        <f>F1387*K1387</f>
        <v>0</v>
      </c>
    </row>
    <row r="1388" spans="2:13" ht="12.75">
      <c r="B1388" s="20">
        <v>29</v>
      </c>
      <c r="C1388" s="20">
        <v>0</v>
      </c>
      <c r="D1388" s="20">
        <f>E1318*0.15</f>
        <v>18.15</v>
      </c>
      <c r="E1388" s="20">
        <f>$G$12*C1388</f>
        <v>0</v>
      </c>
      <c r="F1388" s="20">
        <f>($H$15*0.9)*D1388</f>
        <v>0</v>
      </c>
      <c r="G1388" s="22">
        <f>ROUND((1/((1+$E$101)^B1388)),4)</f>
        <v>1</v>
      </c>
      <c r="H1388" s="20">
        <f>(E1388*G1388)</f>
        <v>0</v>
      </c>
      <c r="I1388" s="20">
        <f>F1388*G1388</f>
        <v>0</v>
      </c>
      <c r="K1388" s="22">
        <f>ROUND((1/((1+$E$103)^B1388)),4)</f>
        <v>1</v>
      </c>
      <c r="L1388" s="20">
        <f>E1388*K1388</f>
        <v>0</v>
      </c>
      <c r="M1388" s="20">
        <f>F1388*K1388</f>
        <v>0</v>
      </c>
    </row>
    <row r="1390" spans="2:13" ht="12.75">
      <c r="B1390" s="18" t="s">
        <v>419</v>
      </c>
      <c r="C1390" s="18" t="s">
        <v>419</v>
      </c>
      <c r="D1390" s="18" t="s">
        <v>419</v>
      </c>
      <c r="E1390" s="18" t="s">
        <v>419</v>
      </c>
      <c r="F1390" s="18" t="s">
        <v>419</v>
      </c>
      <c r="G1390" s="18" t="s">
        <v>419</v>
      </c>
      <c r="H1390" s="18" t="s">
        <v>419</v>
      </c>
      <c r="I1390" s="18" t="s">
        <v>419</v>
      </c>
      <c r="J1390" s="18" t="s">
        <v>419</v>
      </c>
      <c r="K1390" s="18" t="s">
        <v>419</v>
      </c>
      <c r="L1390" s="18" t="s">
        <v>419</v>
      </c>
      <c r="M1390" s="18" t="s">
        <v>419</v>
      </c>
    </row>
    <row r="1391" spans="2:13" ht="12.75">
      <c r="B1391" s="17" t="s">
        <v>23</v>
      </c>
      <c r="H1391" s="20">
        <f>SUM(H1382:H1388)</f>
        <v>17316</v>
      </c>
      <c r="I1391" s="20">
        <f>SUM(I1382:I1388)</f>
        <v>28156.699999999997</v>
      </c>
      <c r="J1391" s="17" t="s">
        <v>438</v>
      </c>
      <c r="K1391" s="17" t="s">
        <v>438</v>
      </c>
      <c r="L1391" s="20">
        <f>SUM(L1382:L1388)</f>
        <v>17316</v>
      </c>
      <c r="M1391" s="20">
        <f>SUM(M1382:M1388)</f>
        <v>28156.699999999997</v>
      </c>
    </row>
    <row r="1392" spans="2:13" ht="12.75">
      <c r="B1392" s="18" t="s">
        <v>419</v>
      </c>
      <c r="C1392" s="18" t="s">
        <v>419</v>
      </c>
      <c r="D1392" s="18" t="s">
        <v>419</v>
      </c>
      <c r="E1392" s="18" t="s">
        <v>419</v>
      </c>
      <c r="F1392" s="18" t="s">
        <v>419</v>
      </c>
      <c r="G1392" s="18" t="s">
        <v>419</v>
      </c>
      <c r="H1392" s="18" t="s">
        <v>419</v>
      </c>
      <c r="I1392" s="18" t="s">
        <v>419</v>
      </c>
      <c r="J1392" s="18" t="s">
        <v>419</v>
      </c>
      <c r="K1392" s="18" t="s">
        <v>419</v>
      </c>
      <c r="L1392" s="18" t="s">
        <v>419</v>
      </c>
      <c r="M1392" s="18" t="s">
        <v>419</v>
      </c>
    </row>
    <row r="1393" ht="12.75">
      <c r="A1393" s="17" t="s">
        <v>467</v>
      </c>
    </row>
    <row r="1394" spans="2:8" ht="12.75">
      <c r="B1394" s="17" t="s">
        <v>518</v>
      </c>
      <c r="H1394" s="17" t="s">
        <v>519</v>
      </c>
    </row>
    <row r="1395" spans="2:8" ht="12.75">
      <c r="B1395" s="18" t="s">
        <v>419</v>
      </c>
      <c r="C1395" s="18" t="s">
        <v>419</v>
      </c>
      <c r="D1395" s="18" t="s">
        <v>419</v>
      </c>
      <c r="E1395" s="18" t="s">
        <v>419</v>
      </c>
      <c r="H1395" s="18" t="s">
        <v>419</v>
      </c>
    </row>
    <row r="1396" ht="12.75">
      <c r="E1396" s="17" t="s">
        <v>520</v>
      </c>
    </row>
    <row r="1397" spans="5:7" ht="12.75">
      <c r="E1397" s="18" t="s">
        <v>419</v>
      </c>
      <c r="F1397" s="18" t="s">
        <v>419</v>
      </c>
      <c r="G1397" s="18" t="s">
        <v>419</v>
      </c>
    </row>
    <row r="1398" spans="2:24" ht="12.75">
      <c r="B1398" s="18" t="s">
        <v>419</v>
      </c>
      <c r="C1398" s="18" t="s">
        <v>419</v>
      </c>
      <c r="D1398" s="18" t="s">
        <v>419</v>
      </c>
      <c r="E1398" s="18" t="s">
        <v>419</v>
      </c>
      <c r="F1398" s="18" t="s">
        <v>419</v>
      </c>
      <c r="G1398" s="18" t="s">
        <v>419</v>
      </c>
      <c r="H1398" s="18" t="s">
        <v>419</v>
      </c>
      <c r="I1398" s="18" t="s">
        <v>419</v>
      </c>
      <c r="J1398" s="18" t="s">
        <v>419</v>
      </c>
      <c r="K1398" s="18" t="s">
        <v>419</v>
      </c>
      <c r="L1398" s="18" t="s">
        <v>419</v>
      </c>
      <c r="M1398" s="18" t="s">
        <v>419</v>
      </c>
      <c r="N1398" s="18" t="s">
        <v>419</v>
      </c>
      <c r="O1398" s="18" t="s">
        <v>419</v>
      </c>
      <c r="P1398" s="18" t="s">
        <v>419</v>
      </c>
      <c r="Q1398" s="18" t="s">
        <v>419</v>
      </c>
      <c r="R1398" s="18" t="s">
        <v>419</v>
      </c>
      <c r="S1398" s="18" t="s">
        <v>419</v>
      </c>
      <c r="T1398" s="18" t="s">
        <v>419</v>
      </c>
      <c r="U1398" s="18" t="s">
        <v>419</v>
      </c>
      <c r="V1398" s="18" t="s">
        <v>419</v>
      </c>
      <c r="W1398" s="18" t="s">
        <v>419</v>
      </c>
      <c r="X1398" s="18" t="s">
        <v>419</v>
      </c>
    </row>
    <row r="1399" spans="5:17" ht="12.75">
      <c r="E1399" s="17" t="s">
        <v>521</v>
      </c>
      <c r="H1399" s="17" t="s">
        <v>522</v>
      </c>
      <c r="K1399" s="17" t="s">
        <v>523</v>
      </c>
      <c r="Q1399" s="17" t="s">
        <v>524</v>
      </c>
    </row>
    <row r="1400" spans="3:21" ht="12.75">
      <c r="C1400" s="17" t="s">
        <v>438</v>
      </c>
      <c r="E1400" s="18" t="s">
        <v>419</v>
      </c>
      <c r="F1400" s="18" t="s">
        <v>419</v>
      </c>
      <c r="H1400" s="18" t="s">
        <v>419</v>
      </c>
      <c r="I1400" s="18" t="s">
        <v>419</v>
      </c>
      <c r="J1400" s="17" t="s">
        <v>438</v>
      </c>
      <c r="K1400" s="18" t="s">
        <v>419</v>
      </c>
      <c r="L1400" s="18" t="s">
        <v>419</v>
      </c>
      <c r="M1400" s="18" t="s">
        <v>419</v>
      </c>
      <c r="N1400" s="18" t="s">
        <v>419</v>
      </c>
      <c r="Q1400" s="18" t="s">
        <v>419</v>
      </c>
      <c r="R1400" s="18" t="s">
        <v>419</v>
      </c>
      <c r="S1400" s="18" t="s">
        <v>419</v>
      </c>
      <c r="T1400" s="18" t="s">
        <v>419</v>
      </c>
      <c r="U1400" s="18" t="s">
        <v>419</v>
      </c>
    </row>
    <row r="1401" spans="17:23" ht="12.75">
      <c r="Q1401" s="20" t="str">
        <f>H1346</f>
        <v>At 26%</v>
      </c>
      <c r="R1401" s="17" t="s">
        <v>494</v>
      </c>
      <c r="V1401" s="20" t="str">
        <f>H1348</f>
        <v>At 27%</v>
      </c>
      <c r="W1401" s="17" t="s">
        <v>494</v>
      </c>
    </row>
    <row r="1402" spans="2:24" ht="12.75">
      <c r="B1402" s="17" t="s">
        <v>12</v>
      </c>
      <c r="C1402" s="17" t="s">
        <v>12</v>
      </c>
      <c r="F1402" s="21" t="s">
        <v>525</v>
      </c>
      <c r="G1402" s="17" t="s">
        <v>438</v>
      </c>
      <c r="H1402" s="17" t="s">
        <v>526</v>
      </c>
      <c r="J1402" s="17" t="s">
        <v>426</v>
      </c>
      <c r="K1402" s="17" t="s">
        <v>526</v>
      </c>
      <c r="M1402" s="17" t="s">
        <v>426</v>
      </c>
      <c r="Q1402" s="18" t="s">
        <v>419</v>
      </c>
      <c r="R1402" s="18" t="s">
        <v>419</v>
      </c>
      <c r="S1402" s="18" t="s">
        <v>419</v>
      </c>
      <c r="V1402" s="18" t="s">
        <v>419</v>
      </c>
      <c r="W1402" s="18" t="s">
        <v>419</v>
      </c>
      <c r="X1402" s="18" t="s">
        <v>419</v>
      </c>
    </row>
    <row r="1403" spans="4:24" ht="12.75">
      <c r="D1403" s="17" t="s">
        <v>485</v>
      </c>
      <c r="E1403" s="17" t="s">
        <v>482</v>
      </c>
      <c r="F1403" s="19" t="s">
        <v>527</v>
      </c>
      <c r="G1403" s="19" t="s">
        <v>426</v>
      </c>
      <c r="H1403" s="17" t="s">
        <v>528</v>
      </c>
      <c r="J1403" s="17" t="s">
        <v>529</v>
      </c>
      <c r="K1403" s="24" t="s">
        <v>690</v>
      </c>
      <c r="M1403" s="17" t="s">
        <v>691</v>
      </c>
      <c r="O1403" s="21" t="s">
        <v>516</v>
      </c>
      <c r="P1403" s="21" t="s">
        <v>516</v>
      </c>
      <c r="Q1403" s="17" t="s">
        <v>532</v>
      </c>
      <c r="R1403" s="21" t="s">
        <v>500</v>
      </c>
      <c r="S1403" s="21" t="s">
        <v>426</v>
      </c>
      <c r="T1403" s="21" t="s">
        <v>516</v>
      </c>
      <c r="U1403" s="21" t="s">
        <v>516</v>
      </c>
      <c r="V1403" s="17" t="s">
        <v>532</v>
      </c>
      <c r="W1403" s="21" t="s">
        <v>500</v>
      </c>
      <c r="X1403" s="21" t="s">
        <v>426</v>
      </c>
    </row>
    <row r="1404" spans="2:24" ht="12.75">
      <c r="B1404" s="18" t="s">
        <v>419</v>
      </c>
      <c r="C1404" s="18" t="s">
        <v>419</v>
      </c>
      <c r="D1404" s="18" t="s">
        <v>419</v>
      </c>
      <c r="E1404" s="18" t="s">
        <v>419</v>
      </c>
      <c r="F1404" s="18" t="s">
        <v>419</v>
      </c>
      <c r="G1404" s="18" t="s">
        <v>419</v>
      </c>
      <c r="H1404" s="18" t="s">
        <v>419</v>
      </c>
      <c r="I1404" s="18" t="s">
        <v>419</v>
      </c>
      <c r="J1404" s="18" t="s">
        <v>419</v>
      </c>
      <c r="K1404" s="18" t="s">
        <v>419</v>
      </c>
      <c r="L1404" s="18" t="s">
        <v>419</v>
      </c>
      <c r="M1404" s="18" t="s">
        <v>419</v>
      </c>
      <c r="N1404" s="18" t="s">
        <v>419</v>
      </c>
      <c r="O1404" s="18" t="s">
        <v>419</v>
      </c>
      <c r="P1404" s="18" t="s">
        <v>419</v>
      </c>
      <c r="Q1404" s="18" t="s">
        <v>419</v>
      </c>
      <c r="R1404" s="18" t="s">
        <v>419</v>
      </c>
      <c r="S1404" s="18" t="s">
        <v>419</v>
      </c>
      <c r="T1404" s="18" t="s">
        <v>419</v>
      </c>
      <c r="U1404" s="18" t="s">
        <v>419</v>
      </c>
      <c r="V1404" s="18" t="s">
        <v>419</v>
      </c>
      <c r="W1404" s="18" t="s">
        <v>419</v>
      </c>
      <c r="X1404" s="18" t="s">
        <v>419</v>
      </c>
    </row>
    <row r="1405" spans="2:24" ht="12.75">
      <c r="B1405" s="20">
        <v>0</v>
      </c>
      <c r="C1405" s="20">
        <v>5</v>
      </c>
      <c r="D1405" s="20">
        <v>827</v>
      </c>
      <c r="E1405" s="20">
        <v>6003</v>
      </c>
      <c r="F1405" s="20">
        <f>C1330</f>
        <v>31760</v>
      </c>
      <c r="G1405" s="20">
        <f>E1330</f>
        <v>31779</v>
      </c>
      <c r="H1405" s="20" t="e">
        <f>D1405*$G$41+E1405*$G$39+F1405*$G$37</f>
        <v>#VALUE!</v>
      </c>
      <c r="I1405" s="22"/>
      <c r="J1405" s="20">
        <f>D1405*$H$41+E1405*$H$39+G1405*$H$37</f>
        <v>0</v>
      </c>
      <c r="K1405" s="20" t="e">
        <f>0.98*(H1405*$G$23)/100</f>
        <v>#VALUE!</v>
      </c>
      <c r="M1405" s="20">
        <f>(J1405*$H$21)/100000</f>
        <v>0</v>
      </c>
      <c r="O1405" s="22" t="e">
        <f>ROUND((((1+$E$101)^(C1405))-1)/(($E$101)*((1+$E$101)^C1405)),4)</f>
        <v>#DIV/0!</v>
      </c>
      <c r="P1405" s="22" t="e">
        <f>ROUND((((1+$E$101)^(B1405))-1)/(($E$101)*((1+$E$101)^B1405)),4)</f>
        <v>#DIV/0!</v>
      </c>
      <c r="Q1405" s="22" t="e">
        <f>O1405-P1405</f>
        <v>#DIV/0!</v>
      </c>
      <c r="R1405" s="20" t="e">
        <f>(K1405*Q1405)</f>
        <v>#VALUE!</v>
      </c>
      <c r="S1405" s="20" t="e">
        <f>M1405*Q1405</f>
        <v>#DIV/0!</v>
      </c>
      <c r="T1405" s="22" t="e">
        <f>ROUND((((1+$E$103)^(C1405))-1)/(($E$103)*((1+$E$103)^C1405)),4)</f>
        <v>#DIV/0!</v>
      </c>
      <c r="U1405" s="22" t="e">
        <f>ROUND((((1+$E$103)^(B1405))-1)/(($E$103)*((1+$E$103)^B1405)),4)</f>
        <v>#DIV/0!</v>
      </c>
      <c r="V1405" s="22" t="e">
        <f>T1405-U1405</f>
        <v>#DIV/0!</v>
      </c>
      <c r="W1405" s="20" t="e">
        <f>(K1405*V1405)</f>
        <v>#VALUE!</v>
      </c>
      <c r="X1405" s="20" t="e">
        <f>M1405*V1405</f>
        <v>#DIV/0!</v>
      </c>
    </row>
    <row r="1406" spans="2:24" ht="12.75">
      <c r="B1406" s="20">
        <v>5</v>
      </c>
      <c r="C1406" s="20">
        <v>10</v>
      </c>
      <c r="D1406" s="20">
        <v>827</v>
      </c>
      <c r="E1406" s="20">
        <v>6003</v>
      </c>
      <c r="F1406" s="20">
        <f>1.15*F1405</f>
        <v>36524</v>
      </c>
      <c r="G1406" s="20">
        <f>1.15*G1405</f>
        <v>36545.85</v>
      </c>
      <c r="H1406" s="20" t="e">
        <f>D1406*$G$41+E1406*$G$39+F1406*$G$37</f>
        <v>#VALUE!</v>
      </c>
      <c r="I1406" s="22"/>
      <c r="J1406" s="20">
        <f>D1406*$H$41+E1406*$H$39+G1406*$H$37</f>
        <v>0</v>
      </c>
      <c r="K1406" s="20" t="e">
        <f>0.98*(H1406*$G$23)/100</f>
        <v>#VALUE!</v>
      </c>
      <c r="M1406" s="20">
        <f>(J1406*$H$21)/100000</f>
        <v>0</v>
      </c>
      <c r="O1406" s="22" t="e">
        <f>ROUND((((1+$E$101)^(C1406))-1)/(($E$101)*((1+$E$101)^C1406)),4)</f>
        <v>#DIV/0!</v>
      </c>
      <c r="P1406" s="22" t="e">
        <f>ROUND((((1+$E$101)^(B1406))-1)/(($E$101)*((1+$E$101)^B1406)),4)</f>
        <v>#DIV/0!</v>
      </c>
      <c r="Q1406" s="22" t="e">
        <f>O1406-P1406</f>
        <v>#DIV/0!</v>
      </c>
      <c r="R1406" s="20" t="e">
        <f>(K1406*Q1406)</f>
        <v>#VALUE!</v>
      </c>
      <c r="S1406" s="20" t="e">
        <f>M1406*Q1406</f>
        <v>#DIV/0!</v>
      </c>
      <c r="T1406" s="22" t="e">
        <f>ROUND((((1+$E$103)^(C1406))-1)/(($E$103)*((1+$E$103)^C1406)),4)</f>
        <v>#DIV/0!</v>
      </c>
      <c r="U1406" s="22" t="e">
        <f>ROUND((((1+$E$103)^(B1406))-1)/(($E$103)*((1+$E$103)^B1406)),4)</f>
        <v>#DIV/0!</v>
      </c>
      <c r="V1406" s="22" t="e">
        <f>T1406-U1406</f>
        <v>#DIV/0!</v>
      </c>
      <c r="W1406" s="20" t="e">
        <f>(K1406*V1406)</f>
        <v>#VALUE!</v>
      </c>
      <c r="X1406" s="20" t="e">
        <f>M1406*V1406</f>
        <v>#DIV/0!</v>
      </c>
    </row>
    <row r="1407" spans="2:24" ht="12.75">
      <c r="B1407" s="20">
        <v>10</v>
      </c>
      <c r="C1407" s="20">
        <v>30</v>
      </c>
      <c r="D1407" s="20">
        <v>827</v>
      </c>
      <c r="E1407" s="20">
        <v>6003</v>
      </c>
      <c r="F1407" s="20">
        <f>1.3*F1405</f>
        <v>41288</v>
      </c>
      <c r="G1407" s="20">
        <f>1.3*G1405</f>
        <v>41312.700000000004</v>
      </c>
      <c r="H1407" s="20" t="e">
        <f>D1407*$G$41+E1407*$G$39+F1407*$G$37</f>
        <v>#VALUE!</v>
      </c>
      <c r="I1407" s="22"/>
      <c r="J1407" s="20">
        <f>D1407*$H$41+E1407*$H$39+G1407*$H$37</f>
        <v>0</v>
      </c>
      <c r="K1407" s="20" t="e">
        <f>0.98*(H1407*$G$23)/100</f>
        <v>#VALUE!</v>
      </c>
      <c r="M1407" s="20">
        <f>(J1407*$H$21)/100000</f>
        <v>0</v>
      </c>
      <c r="O1407" s="22" t="e">
        <f>ROUND((((1+$E$101)^(C1407))-1)/(($E$101)*((1+$E$101)^C1407)),4)</f>
        <v>#DIV/0!</v>
      </c>
      <c r="P1407" s="22" t="e">
        <f>ROUND((((1+$E$101)^(B1407))-1)/(($E$101)*((1+$E$101)^B1407)),4)</f>
        <v>#DIV/0!</v>
      </c>
      <c r="Q1407" s="22" t="e">
        <f>O1407-P1407</f>
        <v>#DIV/0!</v>
      </c>
      <c r="R1407" s="20" t="e">
        <f>(K1407*Q1407)</f>
        <v>#VALUE!</v>
      </c>
      <c r="S1407" s="20" t="e">
        <f>M1407*Q1407</f>
        <v>#DIV/0!</v>
      </c>
      <c r="T1407" s="22" t="e">
        <f>ROUND((((1+$E$103)^(C1407))-1)/(($E$103)*((1+$E$103)^C1407)),4)</f>
        <v>#DIV/0!</v>
      </c>
      <c r="U1407" s="22" t="e">
        <f>ROUND((((1+$E$103)^(B1407))-1)/(($E$103)*((1+$E$103)^B1407)),4)</f>
        <v>#DIV/0!</v>
      </c>
      <c r="V1407" s="22" t="e">
        <f>T1407-U1407</f>
        <v>#DIV/0!</v>
      </c>
      <c r="W1407" s="20" t="e">
        <f>(K1407*V1407)</f>
        <v>#VALUE!</v>
      </c>
      <c r="X1407" s="20" t="e">
        <f>M1407*V1407</f>
        <v>#DIV/0!</v>
      </c>
    </row>
    <row r="1409" spans="2:24" ht="12.75">
      <c r="B1409" s="18" t="s">
        <v>419</v>
      </c>
      <c r="C1409" s="18" t="s">
        <v>419</v>
      </c>
      <c r="D1409" s="18" t="s">
        <v>419</v>
      </c>
      <c r="E1409" s="18" t="s">
        <v>419</v>
      </c>
      <c r="F1409" s="18" t="s">
        <v>419</v>
      </c>
      <c r="G1409" s="18" t="s">
        <v>419</v>
      </c>
      <c r="H1409" s="18" t="s">
        <v>419</v>
      </c>
      <c r="I1409" s="18" t="s">
        <v>419</v>
      </c>
      <c r="J1409" s="18" t="s">
        <v>419</v>
      </c>
      <c r="K1409" s="18" t="s">
        <v>419</v>
      </c>
      <c r="L1409" s="18" t="s">
        <v>419</v>
      </c>
      <c r="M1409" s="18" t="s">
        <v>419</v>
      </c>
      <c r="N1409" s="18" t="s">
        <v>419</v>
      </c>
      <c r="O1409" s="18" t="s">
        <v>419</v>
      </c>
      <c r="P1409" s="18" t="s">
        <v>419</v>
      </c>
      <c r="Q1409" s="18" t="s">
        <v>419</v>
      </c>
      <c r="R1409" s="18" t="s">
        <v>419</v>
      </c>
      <c r="S1409" s="18" t="s">
        <v>419</v>
      </c>
      <c r="T1409" s="18" t="s">
        <v>419</v>
      </c>
      <c r="U1409" s="18" t="s">
        <v>419</v>
      </c>
      <c r="V1409" s="18" t="s">
        <v>419</v>
      </c>
      <c r="W1409" s="18" t="s">
        <v>419</v>
      </c>
      <c r="X1409" s="18" t="s">
        <v>419</v>
      </c>
    </row>
    <row r="1410" spans="2:24" ht="12.75">
      <c r="B1410" s="17" t="s">
        <v>23</v>
      </c>
      <c r="K1410" s="22"/>
      <c r="R1410" s="20" t="e">
        <f>SUM(R1405:R1407)</f>
        <v>#VALUE!</v>
      </c>
      <c r="S1410" s="20" t="e">
        <f>SUM(S1405:S1407)</f>
        <v>#DIV/0!</v>
      </c>
      <c r="W1410" s="20" t="e">
        <f>SUM(W1405:W1407)</f>
        <v>#VALUE!</v>
      </c>
      <c r="X1410" s="20" t="e">
        <f>SUM(X1405:X1407)</f>
        <v>#DIV/0!</v>
      </c>
    </row>
    <row r="1411" spans="2:24" ht="12.75">
      <c r="B1411" s="18" t="s">
        <v>419</v>
      </c>
      <c r="C1411" s="18" t="s">
        <v>419</v>
      </c>
      <c r="D1411" s="18" t="s">
        <v>419</v>
      </c>
      <c r="E1411" s="18" t="s">
        <v>419</v>
      </c>
      <c r="F1411" s="18" t="s">
        <v>419</v>
      </c>
      <c r="G1411" s="18" t="s">
        <v>419</v>
      </c>
      <c r="H1411" s="18" t="s">
        <v>419</v>
      </c>
      <c r="I1411" s="18" t="s">
        <v>419</v>
      </c>
      <c r="J1411" s="18" t="s">
        <v>419</v>
      </c>
      <c r="K1411" s="18" t="s">
        <v>419</v>
      </c>
      <c r="L1411" s="18" t="s">
        <v>419</v>
      </c>
      <c r="M1411" s="18" t="s">
        <v>419</v>
      </c>
      <c r="N1411" s="18" t="s">
        <v>419</v>
      </c>
      <c r="O1411" s="18" t="s">
        <v>419</v>
      </c>
      <c r="P1411" s="18" t="s">
        <v>419</v>
      </c>
      <c r="Q1411" s="18" t="s">
        <v>419</v>
      </c>
      <c r="R1411" s="18" t="s">
        <v>419</v>
      </c>
      <c r="S1411" s="18" t="s">
        <v>419</v>
      </c>
      <c r="T1411" s="18" t="s">
        <v>419</v>
      </c>
      <c r="U1411" s="18" t="s">
        <v>419</v>
      </c>
      <c r="V1411" s="18" t="s">
        <v>419</v>
      </c>
      <c r="W1411" s="18" t="s">
        <v>419</v>
      </c>
      <c r="X1411" s="18" t="s">
        <v>419</v>
      </c>
    </row>
    <row r="1413" spans="2:8" ht="12.75">
      <c r="B1413" s="17" t="s">
        <v>533</v>
      </c>
      <c r="H1413" s="17" t="s">
        <v>534</v>
      </c>
    </row>
    <row r="1414" spans="2:8" ht="12.75">
      <c r="B1414" s="18" t="s">
        <v>419</v>
      </c>
      <c r="C1414" s="18" t="s">
        <v>419</v>
      </c>
      <c r="D1414" s="18" t="s">
        <v>419</v>
      </c>
      <c r="E1414" s="18" t="s">
        <v>419</v>
      </c>
      <c r="H1414" s="18" t="s">
        <v>419</v>
      </c>
    </row>
    <row r="1415" ht="12.75">
      <c r="E1415" s="17" t="s">
        <v>535</v>
      </c>
    </row>
    <row r="1416" spans="5:7" ht="12.75">
      <c r="E1416" s="18" t="s">
        <v>419</v>
      </c>
      <c r="F1416" s="18" t="s">
        <v>419</v>
      </c>
      <c r="G1416" s="18" t="s">
        <v>419</v>
      </c>
    </row>
    <row r="1417" spans="2:24" ht="12.75">
      <c r="B1417" s="18" t="s">
        <v>419</v>
      </c>
      <c r="C1417" s="18" t="s">
        <v>419</v>
      </c>
      <c r="D1417" s="18" t="s">
        <v>419</v>
      </c>
      <c r="E1417" s="18" t="s">
        <v>419</v>
      </c>
      <c r="F1417" s="18" t="s">
        <v>419</v>
      </c>
      <c r="G1417" s="18" t="s">
        <v>419</v>
      </c>
      <c r="H1417" s="18" t="s">
        <v>419</v>
      </c>
      <c r="I1417" s="18" t="s">
        <v>419</v>
      </c>
      <c r="J1417" s="18" t="s">
        <v>419</v>
      </c>
      <c r="K1417" s="18" t="s">
        <v>419</v>
      </c>
      <c r="L1417" s="18" t="s">
        <v>419</v>
      </c>
      <c r="M1417" s="18" t="s">
        <v>419</v>
      </c>
      <c r="N1417" s="18" t="s">
        <v>419</v>
      </c>
      <c r="O1417" s="18" t="s">
        <v>419</v>
      </c>
      <c r="P1417" s="18" t="s">
        <v>419</v>
      </c>
      <c r="Q1417" s="18" t="s">
        <v>419</v>
      </c>
      <c r="R1417" s="18" t="s">
        <v>419</v>
      </c>
      <c r="S1417" s="18" t="s">
        <v>419</v>
      </c>
      <c r="T1417" s="18" t="s">
        <v>419</v>
      </c>
      <c r="U1417" s="18" t="s">
        <v>419</v>
      </c>
      <c r="V1417" s="18" t="s">
        <v>419</v>
      </c>
      <c r="W1417" s="18" t="s">
        <v>419</v>
      </c>
      <c r="X1417" s="18" t="s">
        <v>419</v>
      </c>
    </row>
    <row r="1418" spans="3:22" ht="12.75">
      <c r="C1418" s="17" t="s">
        <v>438</v>
      </c>
      <c r="D1418" s="17" t="s">
        <v>692</v>
      </c>
      <c r="H1418" s="17" t="s">
        <v>537</v>
      </c>
      <c r="K1418" s="17" t="s">
        <v>538</v>
      </c>
      <c r="P1418" s="20" t="str">
        <f>H1346</f>
        <v>At 26%</v>
      </c>
      <c r="Q1418" s="17" t="s">
        <v>494</v>
      </c>
      <c r="U1418" s="20" t="str">
        <f>H1348</f>
        <v>At 27%</v>
      </c>
      <c r="V1418" s="17" t="s">
        <v>494</v>
      </c>
    </row>
    <row r="1419" spans="2:23" ht="12.75">
      <c r="B1419" s="17" t="s">
        <v>12</v>
      </c>
      <c r="C1419" s="17" t="s">
        <v>12</v>
      </c>
      <c r="D1419" s="18" t="s">
        <v>419</v>
      </c>
      <c r="E1419" s="18" t="s">
        <v>419</v>
      </c>
      <c r="F1419" s="21" t="s">
        <v>525</v>
      </c>
      <c r="G1419" s="17" t="s">
        <v>438</v>
      </c>
      <c r="H1419" s="18" t="s">
        <v>419</v>
      </c>
      <c r="I1419" s="18" t="s">
        <v>419</v>
      </c>
      <c r="J1419" s="18" t="s">
        <v>419</v>
      </c>
      <c r="K1419" s="18" t="s">
        <v>419</v>
      </c>
      <c r="L1419" s="18" t="s">
        <v>419</v>
      </c>
      <c r="M1419" s="18" t="s">
        <v>419</v>
      </c>
      <c r="P1419" s="18" t="s">
        <v>419</v>
      </c>
      <c r="Q1419" s="18" t="s">
        <v>419</v>
      </c>
      <c r="R1419" s="18" t="s">
        <v>419</v>
      </c>
      <c r="U1419" s="18" t="s">
        <v>419</v>
      </c>
      <c r="V1419" s="18" t="s">
        <v>419</v>
      </c>
      <c r="W1419" s="18" t="s">
        <v>419</v>
      </c>
    </row>
    <row r="1420" spans="4:23" ht="12.75">
      <c r="D1420" s="17" t="s">
        <v>539</v>
      </c>
      <c r="F1420" s="17" t="s">
        <v>496</v>
      </c>
      <c r="G1420" s="17" t="s">
        <v>426</v>
      </c>
      <c r="H1420" s="19" t="s">
        <v>526</v>
      </c>
      <c r="I1420" s="19" t="s">
        <v>426</v>
      </c>
      <c r="K1420" s="19" t="s">
        <v>526</v>
      </c>
      <c r="L1420" s="19" t="s">
        <v>426</v>
      </c>
      <c r="N1420" s="21" t="s">
        <v>516</v>
      </c>
      <c r="O1420" s="21" t="s">
        <v>516</v>
      </c>
      <c r="P1420" s="17" t="s">
        <v>532</v>
      </c>
      <c r="Q1420" s="21" t="s">
        <v>500</v>
      </c>
      <c r="R1420" s="21" t="s">
        <v>426</v>
      </c>
      <c r="S1420" s="21" t="s">
        <v>516</v>
      </c>
      <c r="T1420" s="21" t="s">
        <v>516</v>
      </c>
      <c r="U1420" s="17" t="s">
        <v>532</v>
      </c>
      <c r="V1420" s="21" t="s">
        <v>500</v>
      </c>
      <c r="W1420" s="21" t="s">
        <v>426</v>
      </c>
    </row>
    <row r="1421" spans="2:23" ht="12.75">
      <c r="B1421" s="18" t="s">
        <v>419</v>
      </c>
      <c r="C1421" s="18" t="s">
        <v>419</v>
      </c>
      <c r="D1421" s="18" t="s">
        <v>419</v>
      </c>
      <c r="F1421" s="18" t="s">
        <v>419</v>
      </c>
      <c r="G1421" s="18" t="s">
        <v>419</v>
      </c>
      <c r="H1421" s="18" t="s">
        <v>419</v>
      </c>
      <c r="I1421" s="18" t="s">
        <v>419</v>
      </c>
      <c r="K1421" s="18" t="s">
        <v>419</v>
      </c>
      <c r="L1421" s="18" t="s">
        <v>419</v>
      </c>
      <c r="N1421" s="18" t="s">
        <v>419</v>
      </c>
      <c r="O1421" s="18" t="s">
        <v>419</v>
      </c>
      <c r="P1421" s="18" t="s">
        <v>419</v>
      </c>
      <c r="Q1421" s="18" t="s">
        <v>419</v>
      </c>
      <c r="R1421" s="18" t="s">
        <v>419</v>
      </c>
      <c r="S1421" s="18" t="s">
        <v>419</v>
      </c>
      <c r="T1421" s="18" t="s">
        <v>419</v>
      </c>
      <c r="U1421" s="18" t="s">
        <v>419</v>
      </c>
      <c r="V1421" s="18" t="s">
        <v>419</v>
      </c>
      <c r="W1421" s="18" t="s">
        <v>419</v>
      </c>
    </row>
    <row r="1422" spans="2:23" ht="12.75">
      <c r="B1422" s="20">
        <v>0</v>
      </c>
      <c r="C1422" s="20">
        <v>5</v>
      </c>
      <c r="D1422" s="20">
        <v>6830</v>
      </c>
      <c r="F1422" s="20">
        <v>31760</v>
      </c>
      <c r="G1422" s="20">
        <v>31779</v>
      </c>
      <c r="H1422" s="20">
        <f>(D1422*$G$48+F1422*$G$46)</f>
        <v>0</v>
      </c>
      <c r="I1422" s="20">
        <f>(D1422*$H$48+G1422*$H$46)</f>
        <v>0</v>
      </c>
      <c r="K1422" s="20">
        <f aca="true" t="shared" si="87" ref="K1422:L1424">(H1422*$G$25)/100</f>
        <v>0</v>
      </c>
      <c r="L1422" s="20">
        <f t="shared" si="87"/>
        <v>0</v>
      </c>
      <c r="N1422" s="22" t="e">
        <f>ROUND((((1+$E$101)^(C1422))-1)/(($E$101)*((1+$E$101)^C1422)),4)</f>
        <v>#DIV/0!</v>
      </c>
      <c r="O1422" s="22" t="e">
        <f>ROUND((((1+$E$101)^(B1422))-1)/(($E$101)*((1+$E$101)^B1422)),4)</f>
        <v>#DIV/0!</v>
      </c>
      <c r="P1422" s="22" t="e">
        <f>N1422-O1422</f>
        <v>#DIV/0!</v>
      </c>
      <c r="Q1422" s="20" t="e">
        <f>(K1422*P1422)</f>
        <v>#DIV/0!</v>
      </c>
      <c r="R1422" s="20" t="e">
        <f>L1422*P1422</f>
        <v>#DIV/0!</v>
      </c>
      <c r="S1422" s="22" t="e">
        <f>ROUND((((1+$E$103)^(C1422))-1)/(($E$103)*((1+$E$103)^C1422)),4)</f>
        <v>#DIV/0!</v>
      </c>
      <c r="T1422" s="22" t="e">
        <f>ROUND((((1+$E$103)^(B1422))-1)/(($E$103)*((1+$E$103)^B1422)),4)</f>
        <v>#DIV/0!</v>
      </c>
      <c r="U1422" s="22" t="e">
        <f>S1422-T1422</f>
        <v>#DIV/0!</v>
      </c>
      <c r="V1422" s="20" t="e">
        <f>(K1422*U1422)</f>
        <v>#DIV/0!</v>
      </c>
      <c r="W1422" s="20" t="e">
        <f>L1422*U1422</f>
        <v>#DIV/0!</v>
      </c>
    </row>
    <row r="1423" spans="2:23" ht="12.75">
      <c r="B1423" s="20">
        <v>5</v>
      </c>
      <c r="C1423" s="20">
        <v>10</v>
      </c>
      <c r="D1423" s="20">
        <v>6830</v>
      </c>
      <c r="F1423" s="20">
        <v>36524</v>
      </c>
      <c r="G1423" s="20">
        <v>36545.85</v>
      </c>
      <c r="H1423" s="20">
        <f>(D1423*$G$48+F1423*$G$46)</f>
        <v>0</v>
      </c>
      <c r="I1423" s="20">
        <f>(D1423*$H$48+G1423*$H$46)</f>
        <v>0</v>
      </c>
      <c r="K1423" s="20">
        <f t="shared" si="87"/>
        <v>0</v>
      </c>
      <c r="L1423" s="20">
        <f t="shared" si="87"/>
        <v>0</v>
      </c>
      <c r="N1423" s="22" t="e">
        <f>ROUND((((1+$E$101)^(C1423))-1)/(($E$101)*((1+$E$101)^C1423)),4)</f>
        <v>#DIV/0!</v>
      </c>
      <c r="O1423" s="22" t="e">
        <f>ROUND((((1+$E$101)^(B1423))-1)/(($E$101)*((1+$E$101)^B1423)),4)</f>
        <v>#DIV/0!</v>
      </c>
      <c r="P1423" s="22" t="e">
        <f>N1423-O1423</f>
        <v>#DIV/0!</v>
      </c>
      <c r="Q1423" s="20" t="e">
        <f>(K1423*P1423)</f>
        <v>#DIV/0!</v>
      </c>
      <c r="R1423" s="20" t="e">
        <f>L1423*P1423</f>
        <v>#DIV/0!</v>
      </c>
      <c r="S1423" s="22" t="e">
        <f>ROUND((((1+$E$103)^(C1423))-1)/(($E$103)*((1+$E$103)^C1423)),4)</f>
        <v>#DIV/0!</v>
      </c>
      <c r="T1423" s="22" t="e">
        <f>ROUND((((1+$E$103)^(B1423))-1)/(($E$103)*((1+$E$103)^B1423)),4)</f>
        <v>#DIV/0!</v>
      </c>
      <c r="U1423" s="22" t="e">
        <f>S1423-T1423</f>
        <v>#DIV/0!</v>
      </c>
      <c r="V1423" s="20" t="e">
        <f>(K1423*U1423)</f>
        <v>#DIV/0!</v>
      </c>
      <c r="W1423" s="20" t="e">
        <f>L1423*U1423</f>
        <v>#DIV/0!</v>
      </c>
    </row>
    <row r="1424" spans="2:23" ht="12.75">
      <c r="B1424" s="20">
        <v>10</v>
      </c>
      <c r="C1424" s="20">
        <v>30</v>
      </c>
      <c r="D1424" s="20">
        <v>6830</v>
      </c>
      <c r="F1424" s="20">
        <v>41288</v>
      </c>
      <c r="G1424" s="20">
        <v>41312.7</v>
      </c>
      <c r="H1424" s="20">
        <f>(D1424*$G$48+F1424*$G$46)</f>
        <v>0</v>
      </c>
      <c r="I1424" s="20">
        <f>(D1424*$H$48+G1424*$H$46)</f>
        <v>0</v>
      </c>
      <c r="K1424" s="20">
        <f t="shared" si="87"/>
        <v>0</v>
      </c>
      <c r="L1424" s="20">
        <f t="shared" si="87"/>
        <v>0</v>
      </c>
      <c r="N1424" s="22" t="e">
        <f>ROUND((((1+$E$101)^(C1424))-1)/(($E$101)*((1+$E$101)^C1424)),4)</f>
        <v>#DIV/0!</v>
      </c>
      <c r="O1424" s="22" t="e">
        <f>ROUND((((1+$E$101)^(B1424))-1)/(($E$101)*((1+$E$101)^B1424)),4)</f>
        <v>#DIV/0!</v>
      </c>
      <c r="P1424" s="22" t="e">
        <f>N1424-O1424</f>
        <v>#DIV/0!</v>
      </c>
      <c r="Q1424" s="20" t="e">
        <f>(K1424*P1424)</f>
        <v>#DIV/0!</v>
      </c>
      <c r="R1424" s="20" t="e">
        <f>L1424*P1424</f>
        <v>#DIV/0!</v>
      </c>
      <c r="S1424" s="22" t="e">
        <f>ROUND((((1+$E$103)^(C1424))-1)/(($E$103)*((1+$E$103)^C1424)),4)</f>
        <v>#DIV/0!</v>
      </c>
      <c r="T1424" s="22" t="e">
        <f>ROUND((((1+$E$103)^(B1424))-1)/(($E$103)*((1+$E$103)^B1424)),4)</f>
        <v>#DIV/0!</v>
      </c>
      <c r="U1424" s="22" t="e">
        <f>S1424-T1424</f>
        <v>#DIV/0!</v>
      </c>
      <c r="V1424" s="20" t="e">
        <f>(K1424*U1424)</f>
        <v>#DIV/0!</v>
      </c>
      <c r="W1424" s="20" t="e">
        <f>L1424*U1424</f>
        <v>#DIV/0!</v>
      </c>
    </row>
    <row r="1426" spans="2:23" ht="12.75">
      <c r="B1426" s="18" t="s">
        <v>419</v>
      </c>
      <c r="C1426" s="18" t="s">
        <v>419</v>
      </c>
      <c r="D1426" s="18" t="s">
        <v>419</v>
      </c>
      <c r="E1426" s="18" t="s">
        <v>419</v>
      </c>
      <c r="F1426" s="18" t="s">
        <v>419</v>
      </c>
      <c r="G1426" s="18" t="s">
        <v>419</v>
      </c>
      <c r="H1426" s="18" t="s">
        <v>419</v>
      </c>
      <c r="I1426" s="18" t="s">
        <v>419</v>
      </c>
      <c r="J1426" s="18" t="s">
        <v>419</v>
      </c>
      <c r="K1426" s="18" t="s">
        <v>419</v>
      </c>
      <c r="L1426" s="18" t="s">
        <v>419</v>
      </c>
      <c r="M1426" s="18" t="s">
        <v>419</v>
      </c>
      <c r="N1426" s="18" t="s">
        <v>419</v>
      </c>
      <c r="O1426" s="18" t="s">
        <v>419</v>
      </c>
      <c r="P1426" s="18" t="s">
        <v>419</v>
      </c>
      <c r="Q1426" s="18" t="s">
        <v>419</v>
      </c>
      <c r="R1426" s="18" t="s">
        <v>419</v>
      </c>
      <c r="S1426" s="18" t="s">
        <v>419</v>
      </c>
      <c r="T1426" s="18" t="s">
        <v>419</v>
      </c>
      <c r="U1426" s="18" t="s">
        <v>419</v>
      </c>
      <c r="V1426" s="18" t="s">
        <v>419</v>
      </c>
      <c r="W1426" s="18" t="s">
        <v>419</v>
      </c>
    </row>
    <row r="1427" spans="2:23" ht="12.75">
      <c r="B1427" s="17" t="s">
        <v>23</v>
      </c>
      <c r="K1427" s="22"/>
      <c r="Q1427" s="20" t="e">
        <f>SUM(Q1422:Q1424)</f>
        <v>#DIV/0!</v>
      </c>
      <c r="R1427" s="20" t="e">
        <f>SUM(R1422:R1424)</f>
        <v>#DIV/0!</v>
      </c>
      <c r="V1427" s="20" t="e">
        <f>SUM(V1422:V1424)</f>
        <v>#DIV/0!</v>
      </c>
      <c r="W1427" s="20" t="e">
        <f>SUM(W1422:W1424)</f>
        <v>#DIV/0!</v>
      </c>
    </row>
    <row r="1428" spans="2:23" ht="12.75">
      <c r="B1428" s="18" t="s">
        <v>419</v>
      </c>
      <c r="C1428" s="18" t="s">
        <v>419</v>
      </c>
      <c r="D1428" s="18" t="s">
        <v>419</v>
      </c>
      <c r="E1428" s="18" t="s">
        <v>419</v>
      </c>
      <c r="F1428" s="18" t="s">
        <v>419</v>
      </c>
      <c r="G1428" s="18" t="s">
        <v>419</v>
      </c>
      <c r="H1428" s="18" t="s">
        <v>419</v>
      </c>
      <c r="I1428" s="18" t="s">
        <v>419</v>
      </c>
      <c r="J1428" s="18" t="s">
        <v>419</v>
      </c>
      <c r="K1428" s="18" t="s">
        <v>419</v>
      </c>
      <c r="L1428" s="18" t="s">
        <v>419</v>
      </c>
      <c r="M1428" s="18" t="s">
        <v>419</v>
      </c>
      <c r="N1428" s="18" t="s">
        <v>419</v>
      </c>
      <c r="O1428" s="18" t="s">
        <v>419</v>
      </c>
      <c r="P1428" s="18" t="s">
        <v>419</v>
      </c>
      <c r="Q1428" s="18" t="s">
        <v>419</v>
      </c>
      <c r="R1428" s="18" t="s">
        <v>419</v>
      </c>
      <c r="S1428" s="18" t="s">
        <v>419</v>
      </c>
      <c r="T1428" s="18" t="s">
        <v>419</v>
      </c>
      <c r="U1428" s="18" t="s">
        <v>419</v>
      </c>
      <c r="V1428" s="18" t="s">
        <v>419</v>
      </c>
      <c r="W1428" s="18" t="s">
        <v>419</v>
      </c>
    </row>
    <row r="1429" ht="12.75">
      <c r="A1429" s="17" t="s">
        <v>467</v>
      </c>
    </row>
    <row r="1430" spans="2:8" ht="12.75">
      <c r="B1430" s="17" t="s">
        <v>663</v>
      </c>
      <c r="H1430" s="17" t="s">
        <v>664</v>
      </c>
    </row>
    <row r="1431" spans="2:17" ht="12.75">
      <c r="B1431" s="18" t="s">
        <v>419</v>
      </c>
      <c r="C1431" s="18" t="s">
        <v>419</v>
      </c>
      <c r="D1431" s="18" t="s">
        <v>419</v>
      </c>
      <c r="E1431" s="18" t="s">
        <v>419</v>
      </c>
      <c r="H1431" s="18" t="s">
        <v>419</v>
      </c>
      <c r="Q1431" s="17" t="s">
        <v>542</v>
      </c>
    </row>
    <row r="1433" spans="2:23" ht="12.75">
      <c r="B1433" s="18" t="s">
        <v>419</v>
      </c>
      <c r="C1433" s="18" t="s">
        <v>419</v>
      </c>
      <c r="D1433" s="18" t="s">
        <v>419</v>
      </c>
      <c r="E1433" s="18" t="s">
        <v>419</v>
      </c>
      <c r="F1433" s="18" t="s">
        <v>419</v>
      </c>
      <c r="G1433" s="18" t="s">
        <v>419</v>
      </c>
      <c r="H1433" s="18" t="s">
        <v>419</v>
      </c>
      <c r="I1433" s="18" t="s">
        <v>419</v>
      </c>
      <c r="J1433" s="18" t="s">
        <v>419</v>
      </c>
      <c r="K1433" s="18" t="s">
        <v>419</v>
      </c>
      <c r="L1433" s="18" t="s">
        <v>419</v>
      </c>
      <c r="M1433" s="18" t="s">
        <v>419</v>
      </c>
      <c r="N1433" s="18" t="s">
        <v>419</v>
      </c>
      <c r="O1433" s="18" t="s">
        <v>419</v>
      </c>
      <c r="P1433" s="18" t="s">
        <v>419</v>
      </c>
      <c r="Q1433" s="18" t="s">
        <v>419</v>
      </c>
      <c r="R1433" s="18" t="s">
        <v>419</v>
      </c>
      <c r="S1433" s="18" t="s">
        <v>419</v>
      </c>
      <c r="T1433" s="18" t="s">
        <v>419</v>
      </c>
      <c r="U1433" s="18" t="s">
        <v>419</v>
      </c>
      <c r="V1433" s="18" t="s">
        <v>419</v>
      </c>
      <c r="W1433" s="18" t="s">
        <v>419</v>
      </c>
    </row>
    <row r="1434" spans="4:12" ht="12.75">
      <c r="D1434" s="17" t="s">
        <v>693</v>
      </c>
      <c r="F1434" s="17" t="s">
        <v>544</v>
      </c>
      <c r="L1434" s="17" t="s">
        <v>545</v>
      </c>
    </row>
    <row r="1435" spans="3:15" ht="12.75">
      <c r="C1435" s="17" t="s">
        <v>438</v>
      </c>
      <c r="D1435" s="17" t="s">
        <v>694</v>
      </c>
      <c r="E1435" s="17" t="s">
        <v>438</v>
      </c>
      <c r="F1435" s="17" t="s">
        <v>547</v>
      </c>
      <c r="L1435" s="18" t="s">
        <v>419</v>
      </c>
      <c r="M1435" s="18" t="s">
        <v>419</v>
      </c>
      <c r="N1435" s="18" t="s">
        <v>419</v>
      </c>
      <c r="O1435" s="18" t="s">
        <v>419</v>
      </c>
    </row>
    <row r="1436" spans="2:16" ht="12.75">
      <c r="B1436" s="17" t="s">
        <v>12</v>
      </c>
      <c r="C1436" s="17" t="s">
        <v>12</v>
      </c>
      <c r="J1436" s="20" t="str">
        <f>H1346</f>
        <v>At 26%</v>
      </c>
      <c r="K1436" s="17" t="s">
        <v>494</v>
      </c>
      <c r="O1436" s="20" t="str">
        <f>H1348</f>
        <v>At 27%</v>
      </c>
      <c r="P1436" s="17" t="s">
        <v>494</v>
      </c>
    </row>
    <row r="1437" spans="4:17" ht="12.75">
      <c r="D1437" s="17" t="s">
        <v>496</v>
      </c>
      <c r="E1437" s="17" t="s">
        <v>426</v>
      </c>
      <c r="F1437" s="19" t="s">
        <v>526</v>
      </c>
      <c r="G1437" s="19" t="s">
        <v>426</v>
      </c>
      <c r="H1437" s="21" t="s">
        <v>516</v>
      </c>
      <c r="I1437" s="21" t="s">
        <v>516</v>
      </c>
      <c r="J1437" s="17" t="s">
        <v>532</v>
      </c>
      <c r="K1437" s="21" t="s">
        <v>500</v>
      </c>
      <c r="L1437" s="21" t="s">
        <v>426</v>
      </c>
      <c r="M1437" s="21" t="s">
        <v>516</v>
      </c>
      <c r="N1437" s="21" t="s">
        <v>516</v>
      </c>
      <c r="O1437" s="17" t="s">
        <v>532</v>
      </c>
      <c r="P1437" s="21" t="s">
        <v>500</v>
      </c>
      <c r="Q1437" s="21" t="s">
        <v>426</v>
      </c>
    </row>
    <row r="1438" spans="2:17" ht="12.75">
      <c r="B1438" s="18" t="s">
        <v>419</v>
      </c>
      <c r="C1438" s="18" t="s">
        <v>419</v>
      </c>
      <c r="D1438" s="18" t="s">
        <v>419</v>
      </c>
      <c r="E1438" s="18" t="s">
        <v>419</v>
      </c>
      <c r="F1438" s="18" t="s">
        <v>419</v>
      </c>
      <c r="G1438" s="18" t="s">
        <v>419</v>
      </c>
      <c r="H1438" s="18" t="s">
        <v>419</v>
      </c>
      <c r="I1438" s="18" t="s">
        <v>419</v>
      </c>
      <c r="J1438" s="18" t="s">
        <v>419</v>
      </c>
      <c r="K1438" s="18" t="s">
        <v>419</v>
      </c>
      <c r="L1438" s="18" t="s">
        <v>419</v>
      </c>
      <c r="M1438" s="18" t="s">
        <v>419</v>
      </c>
      <c r="N1438" s="18" t="s">
        <v>419</v>
      </c>
      <c r="O1438" s="18" t="s">
        <v>419</v>
      </c>
      <c r="P1438" s="18" t="s">
        <v>419</v>
      </c>
      <c r="Q1438" s="18" t="s">
        <v>419</v>
      </c>
    </row>
    <row r="1439" spans="2:17" ht="12.75">
      <c r="B1439" s="20">
        <v>0</v>
      </c>
      <c r="C1439" s="20">
        <v>5</v>
      </c>
      <c r="D1439" s="20">
        <v>2218</v>
      </c>
      <c r="E1439" s="20">
        <f>$E$97+$E$95</f>
        <v>0</v>
      </c>
      <c r="F1439" s="20" t="e">
        <f>(#REF!*0.01*G1276)</f>
        <v>#REF!</v>
      </c>
      <c r="G1439" s="20" t="e">
        <f>(#REF!*0.01*H1276)</f>
        <v>#REF!</v>
      </c>
      <c r="H1439" s="22" t="e">
        <f>ROUND((((1+$E$101)^(C1439))-1)/(($E$101)*((1+$E$101)^C1439)),4)</f>
        <v>#DIV/0!</v>
      </c>
      <c r="I1439" s="22" t="e">
        <f>ROUND((((1+$E$101)^(B1439))-1)/(($E$101)*((1+$E$101)^B1439)),4)</f>
        <v>#DIV/0!</v>
      </c>
      <c r="J1439" s="22" t="e">
        <f>H1439-I1439</f>
        <v>#DIV/0!</v>
      </c>
      <c r="K1439" s="20" t="e">
        <f>(F1439*J1439)</f>
        <v>#REF!</v>
      </c>
      <c r="L1439" s="20" t="e">
        <f>(G1439*J1439)</f>
        <v>#REF!</v>
      </c>
      <c r="M1439" s="22" t="e">
        <f>ROUND((((1+$E$103)^(C1439))-1)/(($E$103)*((1+$E$103)^C1439)),4)</f>
        <v>#DIV/0!</v>
      </c>
      <c r="N1439" s="22" t="e">
        <f>ROUND((((1+$E$103)^(B1439))-1)/(($E$103)*((1+$E$103)^B1439)),4)</f>
        <v>#DIV/0!</v>
      </c>
      <c r="O1439" s="22" t="e">
        <f>M1439-N1439</f>
        <v>#DIV/0!</v>
      </c>
      <c r="P1439" s="20" t="e">
        <f>(F1439*O1439)</f>
        <v>#REF!</v>
      </c>
      <c r="Q1439" s="20" t="e">
        <f>(G1439*O1439)</f>
        <v>#REF!</v>
      </c>
    </row>
    <row r="1440" spans="2:17" ht="12.75">
      <c r="B1440" s="20">
        <v>5</v>
      </c>
      <c r="C1440" s="20">
        <v>10</v>
      </c>
      <c r="D1440" s="20">
        <v>2501.05</v>
      </c>
      <c r="E1440" s="20">
        <f>$E$95+($E$97*1.15)</f>
        <v>0</v>
      </c>
      <c r="F1440" s="20" t="e">
        <f>(#REF!*0.01*G1276)</f>
        <v>#REF!</v>
      </c>
      <c r="G1440" s="20" t="e">
        <f>(#REF!*0.01*H1276)</f>
        <v>#REF!</v>
      </c>
      <c r="H1440" s="22" t="e">
        <f>ROUND((((1+$E$101)^(C1440))-1)/(($E$101)*((1+$E$101)^C1440)),4)</f>
        <v>#DIV/0!</v>
      </c>
      <c r="I1440" s="22" t="e">
        <f>ROUND((((1+$E$101)^(B1440))-1)/(($E$101)*((1+$E$101)^B1440)),4)</f>
        <v>#DIV/0!</v>
      </c>
      <c r="J1440" s="22" t="e">
        <f>H1440-I1440</f>
        <v>#DIV/0!</v>
      </c>
      <c r="K1440" s="20" t="e">
        <f>(F1440*J1440)</f>
        <v>#REF!</v>
      </c>
      <c r="L1440" s="20" t="e">
        <f>(G1440*J1440)</f>
        <v>#REF!</v>
      </c>
      <c r="M1440" s="22" t="e">
        <f>ROUND((((1+$E$103)^(C1440))-1)/(($E$103)*((1+$E$103)^C1440)),4)</f>
        <v>#DIV/0!</v>
      </c>
      <c r="N1440" s="22" t="e">
        <f>ROUND((((1+$E$103)^(B1440))-1)/(($E$103)*((1+$E$103)^B1440)),4)</f>
        <v>#DIV/0!</v>
      </c>
      <c r="O1440" s="22" t="e">
        <f>M1440-N1440</f>
        <v>#DIV/0!</v>
      </c>
      <c r="P1440" s="20" t="e">
        <f>(F1440*O1440)</f>
        <v>#REF!</v>
      </c>
      <c r="Q1440" s="20" t="e">
        <f>(G1440*O1440)</f>
        <v>#REF!</v>
      </c>
    </row>
    <row r="1441" spans="2:17" ht="12.75">
      <c r="B1441" s="20">
        <v>10</v>
      </c>
      <c r="C1441" s="20">
        <v>30</v>
      </c>
      <c r="D1441" s="20">
        <f>$C$95+($C$97*1.3)</f>
        <v>0</v>
      </c>
      <c r="E1441" s="20">
        <f>$E$95+($E$97*1.3)</f>
        <v>0</v>
      </c>
      <c r="F1441" s="20" t="e">
        <f>(#REF!*0.01*G1276)</f>
        <v>#REF!</v>
      </c>
      <c r="G1441" s="20" t="e">
        <f>(#REF!*0.01*H1276)</f>
        <v>#REF!</v>
      </c>
      <c r="H1441" s="22" t="e">
        <f>ROUND((((1+$E$101)^(C1441))-1)/(($E$101)*((1+$E$101)^C1441)),4)</f>
        <v>#DIV/0!</v>
      </c>
      <c r="I1441" s="22" t="e">
        <f>ROUND((((1+$E$101)^(B1441))-1)/(($E$101)*((1+$E$101)^B1441)),4)</f>
        <v>#DIV/0!</v>
      </c>
      <c r="J1441" s="22" t="e">
        <f>H1441-I1441</f>
        <v>#DIV/0!</v>
      </c>
      <c r="K1441" s="20" t="e">
        <f>(F1441*J1441)</f>
        <v>#REF!</v>
      </c>
      <c r="L1441" s="20" t="e">
        <f>(G1441*J1441)</f>
        <v>#REF!</v>
      </c>
      <c r="M1441" s="22" t="e">
        <f>ROUND((((1+$E$103)^(C1441))-1)/(($E$103)*((1+$E$103)^C1441)),4)</f>
        <v>#DIV/0!</v>
      </c>
      <c r="N1441" s="22" t="e">
        <f>ROUND((((1+$E$103)^(B1441))-1)/(($E$103)*((1+$E$103)^B1441)),4)</f>
        <v>#DIV/0!</v>
      </c>
      <c r="O1441" s="22" t="e">
        <f>M1441-N1441</f>
        <v>#DIV/0!</v>
      </c>
      <c r="P1441" s="20" t="e">
        <f>(F1441*O1441)</f>
        <v>#REF!</v>
      </c>
      <c r="Q1441" s="20" t="e">
        <f>(G1441*O1441)</f>
        <v>#REF!</v>
      </c>
    </row>
    <row r="1443" spans="2:17" ht="12.75">
      <c r="B1443" s="18" t="s">
        <v>419</v>
      </c>
      <c r="C1443" s="18" t="s">
        <v>419</v>
      </c>
      <c r="D1443" s="18" t="s">
        <v>419</v>
      </c>
      <c r="E1443" s="18" t="s">
        <v>419</v>
      </c>
      <c r="F1443" s="18" t="s">
        <v>419</v>
      </c>
      <c r="G1443" s="18" t="s">
        <v>419</v>
      </c>
      <c r="H1443" s="18" t="s">
        <v>419</v>
      </c>
      <c r="I1443" s="18" t="s">
        <v>419</v>
      </c>
      <c r="J1443" s="18" t="s">
        <v>419</v>
      </c>
      <c r="K1443" s="18" t="s">
        <v>419</v>
      </c>
      <c r="L1443" s="18" t="s">
        <v>419</v>
      </c>
      <c r="M1443" s="18" t="s">
        <v>419</v>
      </c>
      <c r="N1443" s="18" t="s">
        <v>419</v>
      </c>
      <c r="O1443" s="18" t="s">
        <v>419</v>
      </c>
      <c r="P1443" s="18" t="s">
        <v>419</v>
      </c>
      <c r="Q1443" s="18" t="s">
        <v>419</v>
      </c>
    </row>
    <row r="1444" spans="2:17" ht="12.75">
      <c r="B1444" s="17" t="s">
        <v>23</v>
      </c>
      <c r="K1444" s="20" t="e">
        <f>SUM(K1439:K1441)</f>
        <v>#REF!</v>
      </c>
      <c r="L1444" s="20" t="e">
        <f>SUM(L1439:L1441)</f>
        <v>#REF!</v>
      </c>
      <c r="P1444" s="20" t="e">
        <f>SUM(P1439:P1441)</f>
        <v>#REF!</v>
      </c>
      <c r="Q1444" s="20" t="e">
        <f>SUM(Q1439:Q1441)</f>
        <v>#REF!</v>
      </c>
    </row>
    <row r="1445" spans="2:17" ht="12.75">
      <c r="B1445" s="18" t="s">
        <v>419</v>
      </c>
      <c r="C1445" s="18" t="s">
        <v>419</v>
      </c>
      <c r="D1445" s="18" t="s">
        <v>419</v>
      </c>
      <c r="E1445" s="18" t="s">
        <v>419</v>
      </c>
      <c r="F1445" s="18" t="s">
        <v>419</v>
      </c>
      <c r="G1445" s="18" t="s">
        <v>419</v>
      </c>
      <c r="H1445" s="18" t="s">
        <v>419</v>
      </c>
      <c r="I1445" s="18" t="s">
        <v>419</v>
      </c>
      <c r="J1445" s="18" t="s">
        <v>419</v>
      </c>
      <c r="K1445" s="18" t="s">
        <v>419</v>
      </c>
      <c r="L1445" s="18" t="s">
        <v>419</v>
      </c>
      <c r="M1445" s="18" t="s">
        <v>419</v>
      </c>
      <c r="N1445" s="18" t="s">
        <v>419</v>
      </c>
      <c r="O1445" s="18" t="s">
        <v>419</v>
      </c>
      <c r="P1445" s="18" t="s">
        <v>419</v>
      </c>
      <c r="Q1445" s="18" t="s">
        <v>419</v>
      </c>
    </row>
    <row r="1448" spans="2:8" ht="12.75">
      <c r="B1448" s="17" t="s">
        <v>553</v>
      </c>
      <c r="H1448" s="17" t="s">
        <v>554</v>
      </c>
    </row>
    <row r="1449" spans="2:8" ht="12.75">
      <c r="B1449" s="18" t="s">
        <v>419</v>
      </c>
      <c r="C1449" s="18" t="s">
        <v>419</v>
      </c>
      <c r="D1449" s="18" t="s">
        <v>419</v>
      </c>
      <c r="E1449" s="18" t="s">
        <v>419</v>
      </c>
      <c r="F1449" s="18" t="s">
        <v>419</v>
      </c>
      <c r="H1449" s="18" t="s">
        <v>419</v>
      </c>
    </row>
    <row r="1450" spans="2:8" ht="12.75">
      <c r="B1450" s="17" t="s">
        <v>555</v>
      </c>
      <c r="H1450" s="20">
        <f>G1273*1000</f>
        <v>58650</v>
      </c>
    </row>
    <row r="1452" spans="2:8" ht="12.75">
      <c r="B1452" s="17" t="s">
        <v>556</v>
      </c>
      <c r="H1452" s="20">
        <f>B1302</f>
        <v>626</v>
      </c>
    </row>
    <row r="1454" spans="2:8" ht="12.75">
      <c r="B1454" s="17" t="s">
        <v>557</v>
      </c>
      <c r="E1454" s="17" t="s">
        <v>558</v>
      </c>
      <c r="H1454" s="20">
        <f>(H1450*H1452)/100000</f>
        <v>367.149</v>
      </c>
    </row>
    <row r="1456" ht="12.75">
      <c r="B1456" s="17" t="s">
        <v>559</v>
      </c>
    </row>
    <row r="1457" spans="2:6" ht="12.75">
      <c r="B1457" s="18" t="s">
        <v>419</v>
      </c>
      <c r="C1457" s="18" t="s">
        <v>560</v>
      </c>
      <c r="D1457" s="18" t="s">
        <v>419</v>
      </c>
      <c r="E1457" s="18" t="s">
        <v>419</v>
      </c>
      <c r="F1457" s="18" t="s">
        <v>419</v>
      </c>
    </row>
    <row r="1458" spans="2:8" ht="12.75">
      <c r="B1458" s="20" t="str">
        <f>H1346</f>
        <v>At 26%</v>
      </c>
      <c r="C1458" s="17" t="s">
        <v>494</v>
      </c>
      <c r="F1458" s="20">
        <v>30</v>
      </c>
      <c r="G1458" s="22">
        <v>3.8424</v>
      </c>
      <c r="H1458" s="20">
        <v>1410.73</v>
      </c>
    </row>
    <row r="1459" ht="12.75">
      <c r="B1459" s="17" t="s">
        <v>438</v>
      </c>
    </row>
    <row r="1460" spans="2:8" ht="12.75">
      <c r="B1460" s="20" t="str">
        <f>H1348</f>
        <v>At 27%</v>
      </c>
      <c r="C1460" s="17" t="s">
        <v>494</v>
      </c>
      <c r="D1460" s="17" t="s">
        <v>561</v>
      </c>
      <c r="F1460" s="20">
        <v>30</v>
      </c>
      <c r="G1460" s="22">
        <v>3.7009</v>
      </c>
      <c r="H1460" s="20">
        <v>1358.78</v>
      </c>
    </row>
    <row r="1462" ht="12.75">
      <c r="A1462" s="17" t="s">
        <v>467</v>
      </c>
    </row>
    <row r="1463" spans="2:8" ht="12.75">
      <c r="B1463" s="17" t="s">
        <v>562</v>
      </c>
      <c r="H1463" s="17" t="s">
        <v>563</v>
      </c>
    </row>
    <row r="1464" spans="2:8" ht="12.75">
      <c r="B1464" s="18" t="s">
        <v>419</v>
      </c>
      <c r="C1464" s="18" t="s">
        <v>419</v>
      </c>
      <c r="D1464" s="18" t="s">
        <v>419</v>
      </c>
      <c r="E1464" s="18" t="s">
        <v>419</v>
      </c>
      <c r="F1464" s="18" t="s">
        <v>419</v>
      </c>
      <c r="G1464" s="18" t="s">
        <v>419</v>
      </c>
      <c r="H1464" s="18" t="s">
        <v>419</v>
      </c>
    </row>
    <row r="1465" spans="2:13" ht="12.75">
      <c r="B1465" s="18" t="s">
        <v>419</v>
      </c>
      <c r="C1465" s="18" t="s">
        <v>419</v>
      </c>
      <c r="D1465" s="18" t="s">
        <v>419</v>
      </c>
      <c r="E1465" s="18" t="s">
        <v>419</v>
      </c>
      <c r="F1465" s="18" t="s">
        <v>419</v>
      </c>
      <c r="G1465" s="18" t="s">
        <v>419</v>
      </c>
      <c r="H1465" s="18" t="s">
        <v>419</v>
      </c>
      <c r="I1465" s="18" t="s">
        <v>419</v>
      </c>
      <c r="J1465" s="18" t="s">
        <v>419</v>
      </c>
      <c r="K1465" s="18" t="s">
        <v>419</v>
      </c>
      <c r="L1465" s="18" t="s">
        <v>419</v>
      </c>
      <c r="M1465" s="18" t="s">
        <v>419</v>
      </c>
    </row>
    <row r="1466" spans="2:8" ht="12.75">
      <c r="B1466" s="17" t="s">
        <v>564</v>
      </c>
      <c r="D1466" s="17" t="s">
        <v>565</v>
      </c>
      <c r="F1466" s="17" t="s">
        <v>566</v>
      </c>
      <c r="H1466" s="17" t="s">
        <v>567</v>
      </c>
    </row>
    <row r="1467" spans="2:6" ht="12.75">
      <c r="B1467" s="17" t="s">
        <v>568</v>
      </c>
      <c r="F1467" s="17" t="s">
        <v>569</v>
      </c>
    </row>
    <row r="1468" spans="2:13" ht="12.75">
      <c r="B1468" s="18" t="s">
        <v>419</v>
      </c>
      <c r="C1468" s="18" t="s">
        <v>419</v>
      </c>
      <c r="D1468" s="18" t="s">
        <v>419</v>
      </c>
      <c r="E1468" s="18" t="s">
        <v>419</v>
      </c>
      <c r="F1468" s="18" t="s">
        <v>419</v>
      </c>
      <c r="G1468" s="18" t="s">
        <v>419</v>
      </c>
      <c r="H1468" s="18" t="s">
        <v>419</v>
      </c>
      <c r="I1468" s="18" t="s">
        <v>419</v>
      </c>
      <c r="J1468" s="18" t="s">
        <v>419</v>
      </c>
      <c r="K1468" s="18" t="s">
        <v>419</v>
      </c>
      <c r="L1468" s="18" t="s">
        <v>419</v>
      </c>
      <c r="M1468" s="18" t="s">
        <v>419</v>
      </c>
    </row>
    <row r="1469" spans="8:12" ht="12.75">
      <c r="H1469" s="17" t="s">
        <v>570</v>
      </c>
      <c r="J1469" s="17" t="s">
        <v>571</v>
      </c>
      <c r="K1469" s="17" t="s">
        <v>82</v>
      </c>
      <c r="L1469" s="17" t="s">
        <v>572</v>
      </c>
    </row>
    <row r="1470" spans="3:11" ht="12.75">
      <c r="C1470" s="21" t="s">
        <v>695</v>
      </c>
      <c r="D1470" s="17" t="s">
        <v>496</v>
      </c>
      <c r="E1470" s="17" t="s">
        <v>426</v>
      </c>
      <c r="F1470" s="17" t="s">
        <v>573</v>
      </c>
      <c r="G1470" s="21" t="s">
        <v>82</v>
      </c>
      <c r="H1470" s="17" t="s">
        <v>574</v>
      </c>
      <c r="J1470" s="17" t="s">
        <v>575</v>
      </c>
      <c r="K1470" s="17" t="s">
        <v>576</v>
      </c>
    </row>
    <row r="1471" spans="7:11" ht="12.75">
      <c r="G1471" s="21" t="s">
        <v>577</v>
      </c>
      <c r="H1471" s="17" t="s">
        <v>578</v>
      </c>
      <c r="J1471" s="17" t="s">
        <v>578</v>
      </c>
      <c r="K1471" s="17" t="s">
        <v>579</v>
      </c>
    </row>
    <row r="1472" spans="2:13" ht="12.75">
      <c r="B1472" s="18" t="s">
        <v>419</v>
      </c>
      <c r="C1472" s="18" t="s">
        <v>419</v>
      </c>
      <c r="D1472" s="18" t="s">
        <v>419</v>
      </c>
      <c r="E1472" s="18" t="s">
        <v>419</v>
      </c>
      <c r="F1472" s="18" t="s">
        <v>419</v>
      </c>
      <c r="G1472" s="18" t="s">
        <v>419</v>
      </c>
      <c r="H1472" s="18" t="s">
        <v>419</v>
      </c>
      <c r="I1472" s="18" t="s">
        <v>419</v>
      </c>
      <c r="J1472" s="18" t="s">
        <v>419</v>
      </c>
      <c r="K1472" s="18" t="s">
        <v>419</v>
      </c>
      <c r="L1472" s="18" t="s">
        <v>419</v>
      </c>
      <c r="M1472" s="18" t="s">
        <v>419</v>
      </c>
    </row>
    <row r="1473" spans="2:12" ht="12.75">
      <c r="B1473" s="17" t="s">
        <v>696</v>
      </c>
      <c r="C1473" s="20">
        <v>5</v>
      </c>
      <c r="D1473" s="20">
        <f>C1318</f>
        <v>74</v>
      </c>
      <c r="E1473" s="20">
        <f>E1318</f>
        <v>121</v>
      </c>
      <c r="F1473" s="20">
        <f>(((C1473)*($G$12-0.1*$G$12))/35)+(0.1*$G$12)</f>
        <v>41.14285714285714</v>
      </c>
      <c r="G1473" s="20">
        <f>D1473*F1473</f>
        <v>3044.5714285714284</v>
      </c>
      <c r="H1473" s="20">
        <f>(((C1473+1)*(($H$12-$H$15)-0.1*($H$12-$H$15)))/36)+(0.1*($H$12-$H$15))</f>
        <v>44.75</v>
      </c>
      <c r="J1473" s="20">
        <f>(((C1473+1)*($H$15-0.1*$H$15))/18)+(0.1*$H$15)</f>
        <v>0</v>
      </c>
      <c r="K1473" s="20">
        <f>H1473+J1473</f>
        <v>44.75</v>
      </c>
      <c r="L1473" s="20">
        <f>E1473*K1473</f>
        <v>5414.75</v>
      </c>
    </row>
    <row r="1474" spans="2:12" ht="12.75">
      <c r="B1474" s="17" t="s">
        <v>697</v>
      </c>
      <c r="C1474" s="20">
        <v>5</v>
      </c>
      <c r="D1474" s="20">
        <f>C1320</f>
        <v>49</v>
      </c>
      <c r="E1474" s="20">
        <f>E1320</f>
        <v>49</v>
      </c>
      <c r="F1474" s="20">
        <f>(((C1474)*($G$13-0.1*$G$13))/35)+(0.1*$G$13)</f>
        <v>0</v>
      </c>
      <c r="G1474" s="20">
        <f>D1474*F1474</f>
        <v>0</v>
      </c>
      <c r="H1474" s="20">
        <f>(((C1474+1)*(($H$13-$H$15)-0.1*($H$13-$H$15)))/36)+(0.1*($H$13-$H$15))</f>
        <v>0</v>
      </c>
      <c r="J1474" s="20">
        <f>(((C1474+1)*($H$15-0.1*$H$15))/18)+(0.1*$H$15)</f>
        <v>0</v>
      </c>
      <c r="K1474" s="20">
        <f>H1474+J1474</f>
        <v>0</v>
      </c>
      <c r="L1474" s="20">
        <f>E1474*K1474</f>
        <v>0</v>
      </c>
    </row>
    <row r="1475" spans="2:12" ht="12.75">
      <c r="B1475" s="17" t="s">
        <v>585</v>
      </c>
      <c r="C1475" s="20">
        <v>10</v>
      </c>
      <c r="D1475" s="20">
        <f>C1318*0.15</f>
        <v>11.1</v>
      </c>
      <c r="E1475" s="20">
        <f>E1318*0.15</f>
        <v>18.15</v>
      </c>
      <c r="F1475" s="20">
        <f>(((C1475)*($G$12-0.1*$G$12))/35)+(0.1*$G$12)</f>
        <v>64.28571428571428</v>
      </c>
      <c r="G1475" s="20">
        <f>D1475*F1475</f>
        <v>713.5714285714284</v>
      </c>
      <c r="H1475" s="20">
        <f>(((C1475+1)*(($H$12-$H$15)-0.1*($H$12-$H$15)))/36)+(0.1*($H$12-$H$15))</f>
        <v>67.125</v>
      </c>
      <c r="J1475" s="20">
        <f>(((C1475+1)*($H$15-0.1*$H$15))/18)+(0.1*$H$15)</f>
        <v>0</v>
      </c>
      <c r="K1475" s="20">
        <f>H1475+J1475</f>
        <v>67.125</v>
      </c>
      <c r="L1475" s="20">
        <f>E1475*K1475</f>
        <v>1218.31875</v>
      </c>
    </row>
    <row r="1476" spans="2:12" ht="12.75">
      <c r="B1476" s="17" t="s">
        <v>698</v>
      </c>
      <c r="C1476" s="20">
        <v>15</v>
      </c>
      <c r="D1476" s="20">
        <f>C1318*0.15</f>
        <v>11.1</v>
      </c>
      <c r="E1476" s="20">
        <f>E1318*0.15</f>
        <v>18.15</v>
      </c>
      <c r="F1476" s="20">
        <f>(((C1476)*($G$12-0.1*$G$12))/35)+(0.1*$G$12)</f>
        <v>87.42857142857143</v>
      </c>
      <c r="G1476" s="20">
        <f>D1476*F1476</f>
        <v>970.4571428571428</v>
      </c>
      <c r="H1476" s="20">
        <f>(((C1476+1)*(($H$12-$H$15)-0.1*($H$12-$H$15)))/36)+(0.1*($H$12-$H$15))</f>
        <v>89.5</v>
      </c>
      <c r="J1476" s="20">
        <f>(((C1476+1)*($H$15-0.1*$H$15))/18)+(0.1*$H$15)</f>
        <v>0</v>
      </c>
      <c r="K1476" s="20">
        <f>H1476+J1476</f>
        <v>89.5</v>
      </c>
      <c r="L1476" s="20">
        <f>E1476*K1476</f>
        <v>1624.425</v>
      </c>
    </row>
    <row r="1478" spans="2:12" ht="12.75">
      <c r="B1478" s="18" t="s">
        <v>419</v>
      </c>
      <c r="C1478" s="18" t="s">
        <v>419</v>
      </c>
      <c r="D1478" s="18" t="s">
        <v>419</v>
      </c>
      <c r="E1478" s="18" t="s">
        <v>419</v>
      </c>
      <c r="F1478" s="18" t="s">
        <v>419</v>
      </c>
      <c r="G1478" s="18" t="s">
        <v>419</v>
      </c>
      <c r="H1478" s="18" t="s">
        <v>419</v>
      </c>
      <c r="I1478" s="18" t="s">
        <v>419</v>
      </c>
      <c r="J1478" s="18" t="s">
        <v>419</v>
      </c>
      <c r="K1478" s="18" t="s">
        <v>419</v>
      </c>
      <c r="L1478" s="18" t="s">
        <v>419</v>
      </c>
    </row>
    <row r="1479" spans="2:12" ht="12.75">
      <c r="B1479" s="17" t="s">
        <v>23</v>
      </c>
      <c r="G1479" s="20">
        <f>SUM(G1473:G1476)</f>
        <v>4728.599999999999</v>
      </c>
      <c r="L1479" s="20">
        <f>SUM(L1473:L1476)</f>
        <v>8257.49375</v>
      </c>
    </row>
    <row r="1480" spans="2:12" ht="12.75">
      <c r="B1480" s="18" t="s">
        <v>419</v>
      </c>
      <c r="C1480" s="18" t="s">
        <v>419</v>
      </c>
      <c r="D1480" s="18" t="s">
        <v>419</v>
      </c>
      <c r="E1480" s="18" t="s">
        <v>419</v>
      </c>
      <c r="F1480" s="18" t="s">
        <v>419</v>
      </c>
      <c r="G1480" s="18" t="s">
        <v>419</v>
      </c>
      <c r="H1480" s="18" t="s">
        <v>419</v>
      </c>
      <c r="I1480" s="18" t="s">
        <v>419</v>
      </c>
      <c r="J1480" s="18" t="s">
        <v>419</v>
      </c>
      <c r="K1480" s="18" t="s">
        <v>419</v>
      </c>
      <c r="L1480" s="18" t="s">
        <v>419</v>
      </c>
    </row>
    <row r="1482" ht="12.75">
      <c r="B1482" s="17" t="s">
        <v>589</v>
      </c>
    </row>
    <row r="1483" spans="2:10" ht="12.75">
      <c r="B1483" s="18" t="s">
        <v>419</v>
      </c>
      <c r="C1483" s="18" t="s">
        <v>419</v>
      </c>
      <c r="D1483" s="18" t="s">
        <v>419</v>
      </c>
      <c r="E1483" s="18" t="s">
        <v>419</v>
      </c>
      <c r="F1483" s="18" t="s">
        <v>419</v>
      </c>
      <c r="G1483" s="18" t="s">
        <v>419</v>
      </c>
      <c r="H1483" s="18" t="s">
        <v>419</v>
      </c>
      <c r="I1483" s="18" t="s">
        <v>419</v>
      </c>
      <c r="J1483" s="18" t="s">
        <v>419</v>
      </c>
    </row>
    <row r="1484" spans="3:8" ht="12.75">
      <c r="C1484" s="17" t="s">
        <v>590</v>
      </c>
      <c r="D1484" s="17" t="s">
        <v>516</v>
      </c>
      <c r="E1484" s="17" t="s">
        <v>566</v>
      </c>
      <c r="H1484" s="17" t="s">
        <v>591</v>
      </c>
    </row>
    <row r="1485" spans="2:10" ht="12.75">
      <c r="B1485" s="17" t="s">
        <v>135</v>
      </c>
      <c r="C1485" s="17" t="s">
        <v>592</v>
      </c>
      <c r="E1485" s="17" t="s">
        <v>593</v>
      </c>
      <c r="F1485" s="17" t="s">
        <v>438</v>
      </c>
      <c r="G1485" s="17" t="s">
        <v>426</v>
      </c>
      <c r="H1485" s="17" t="s">
        <v>593</v>
      </c>
      <c r="I1485" s="17" t="s">
        <v>438</v>
      </c>
      <c r="J1485" s="17" t="s">
        <v>426</v>
      </c>
    </row>
    <row r="1486" spans="2:10" ht="12.75">
      <c r="B1486" s="18" t="s">
        <v>419</v>
      </c>
      <c r="C1486" s="18" t="s">
        <v>419</v>
      </c>
      <c r="D1486" s="18" t="s">
        <v>419</v>
      </c>
      <c r="E1486" s="18" t="s">
        <v>419</v>
      </c>
      <c r="F1486" s="18" t="s">
        <v>419</v>
      </c>
      <c r="G1486" s="18" t="s">
        <v>419</v>
      </c>
      <c r="H1486" s="18" t="s">
        <v>419</v>
      </c>
      <c r="I1486" s="18" t="s">
        <v>419</v>
      </c>
      <c r="J1486" s="18" t="s">
        <v>419</v>
      </c>
    </row>
    <row r="1487" spans="2:10" ht="12.75">
      <c r="B1487" s="20">
        <v>30</v>
      </c>
      <c r="C1487" s="20" t="str">
        <f>H1346</f>
        <v>At 26%</v>
      </c>
      <c r="D1487" s="22">
        <v>0.01</v>
      </c>
      <c r="E1487" s="20" t="str">
        <f>$G$273</f>
        <v>-</v>
      </c>
      <c r="G1487" s="20" t="str">
        <f>$L$273</f>
        <v>-</v>
      </c>
      <c r="H1487" s="20" t="e">
        <f>D1487*E1487</f>
        <v>#VALUE!</v>
      </c>
      <c r="J1487" s="20" t="e">
        <f>D1487*G1487</f>
        <v>#VALUE!</v>
      </c>
    </row>
    <row r="1488" spans="2:10" ht="12.75">
      <c r="B1488" s="20">
        <v>30</v>
      </c>
      <c r="C1488" s="20" t="str">
        <f>H1348</f>
        <v>At 27%</v>
      </c>
      <c r="D1488" s="22">
        <v>0.008</v>
      </c>
      <c r="E1488" s="20" t="str">
        <f>$G$273</f>
        <v>-</v>
      </c>
      <c r="G1488" s="20" t="str">
        <f>$L$273</f>
        <v>-</v>
      </c>
      <c r="H1488" s="20" t="e">
        <f>D1488*E1488</f>
        <v>#VALUE!</v>
      </c>
      <c r="J1488" s="20" t="e">
        <f>D1488*G1488</f>
        <v>#VALUE!</v>
      </c>
    </row>
    <row r="1490" spans="2:10" ht="12.75">
      <c r="B1490" s="18" t="s">
        <v>419</v>
      </c>
      <c r="C1490" s="18" t="s">
        <v>419</v>
      </c>
      <c r="D1490" s="18" t="s">
        <v>419</v>
      </c>
      <c r="E1490" s="18" t="s">
        <v>419</v>
      </c>
      <c r="F1490" s="18" t="s">
        <v>419</v>
      </c>
      <c r="G1490" s="18" t="s">
        <v>419</v>
      </c>
      <c r="H1490" s="18" t="s">
        <v>419</v>
      </c>
      <c r="I1490" s="18" t="s">
        <v>419</v>
      </c>
      <c r="J1490" s="18" t="s">
        <v>419</v>
      </c>
    </row>
    <row r="1491" ht="12.75">
      <c r="A1491" s="17" t="s">
        <v>467</v>
      </c>
    </row>
    <row r="1492" spans="2:8" ht="12.75">
      <c r="B1492" s="17" t="s">
        <v>699</v>
      </c>
      <c r="H1492" s="17" t="s">
        <v>595</v>
      </c>
    </row>
    <row r="1493" spans="2:8" ht="12.75">
      <c r="B1493" s="18" t="s">
        <v>419</v>
      </c>
      <c r="C1493" s="18" t="s">
        <v>419</v>
      </c>
      <c r="D1493" s="18" t="s">
        <v>419</v>
      </c>
      <c r="E1493" s="18" t="s">
        <v>419</v>
      </c>
      <c r="F1493" s="18" t="s">
        <v>419</v>
      </c>
      <c r="G1493" s="18" t="s">
        <v>419</v>
      </c>
      <c r="H1493" s="18" t="s">
        <v>419</v>
      </c>
    </row>
    <row r="1494" spans="2:10" ht="12.75">
      <c r="B1494" s="18" t="s">
        <v>419</v>
      </c>
      <c r="C1494" s="18" t="s">
        <v>419</v>
      </c>
      <c r="D1494" s="18" t="s">
        <v>419</v>
      </c>
      <c r="E1494" s="18" t="s">
        <v>419</v>
      </c>
      <c r="F1494" s="18" t="s">
        <v>419</v>
      </c>
      <c r="G1494" s="18" t="s">
        <v>419</v>
      </c>
      <c r="H1494" s="18" t="s">
        <v>419</v>
      </c>
      <c r="I1494" s="18" t="s">
        <v>419</v>
      </c>
      <c r="J1494" s="18" t="s">
        <v>419</v>
      </c>
    </row>
    <row r="1495" spans="2:11" ht="12.75">
      <c r="B1495" s="17" t="s">
        <v>596</v>
      </c>
      <c r="C1495" s="17" t="s">
        <v>597</v>
      </c>
      <c r="G1495" s="21" t="s">
        <v>598</v>
      </c>
      <c r="K1495" s="21" t="s">
        <v>599</v>
      </c>
    </row>
    <row r="1496" spans="6:12" ht="12.75">
      <c r="F1496" s="17" t="s">
        <v>600</v>
      </c>
      <c r="H1496" s="17" t="s">
        <v>601</v>
      </c>
      <c r="J1496" s="17" t="s">
        <v>600</v>
      </c>
      <c r="L1496" s="17" t="s">
        <v>601</v>
      </c>
    </row>
    <row r="1497" spans="2:10" ht="12.75">
      <c r="B1497" s="18" t="s">
        <v>419</v>
      </c>
      <c r="C1497" s="18" t="s">
        <v>419</v>
      </c>
      <c r="D1497" s="18" t="s">
        <v>419</v>
      </c>
      <c r="E1497" s="18" t="s">
        <v>419</v>
      </c>
      <c r="F1497" s="18" t="s">
        <v>419</v>
      </c>
      <c r="G1497" s="18" t="s">
        <v>419</v>
      </c>
      <c r="H1497" s="18" t="s">
        <v>419</v>
      </c>
      <c r="I1497" s="18" t="s">
        <v>419</v>
      </c>
      <c r="J1497" s="18" t="s">
        <v>419</v>
      </c>
    </row>
    <row r="1498" spans="2:12" ht="12.75">
      <c r="B1498" s="17" t="s">
        <v>602</v>
      </c>
      <c r="C1498" s="17" t="s">
        <v>603</v>
      </c>
      <c r="F1498" s="20">
        <f>4.67</f>
        <v>4.67</v>
      </c>
      <c r="H1498" s="20">
        <f>0.1*F1498</f>
        <v>0.467</v>
      </c>
      <c r="J1498" s="20">
        <v>0</v>
      </c>
      <c r="L1498" s="20">
        <v>0</v>
      </c>
    </row>
    <row r="1499" spans="3:12" ht="12.75">
      <c r="C1499" s="17" t="s">
        <v>604</v>
      </c>
      <c r="F1499" s="20">
        <f>F1498</f>
        <v>4.67</v>
      </c>
      <c r="H1499" s="20">
        <f>(F1499+H1498)*0.5</f>
        <v>2.5685</v>
      </c>
      <c r="J1499" s="20">
        <v>0</v>
      </c>
      <c r="L1499" s="20">
        <v>0</v>
      </c>
    </row>
    <row r="1500" spans="3:12" ht="12.75">
      <c r="C1500" s="17" t="s">
        <v>605</v>
      </c>
      <c r="L1500" s="17" t="s">
        <v>438</v>
      </c>
    </row>
    <row r="1501" spans="2:12" ht="12.75">
      <c r="B1501" s="17" t="s">
        <v>606</v>
      </c>
      <c r="C1501" s="17" t="s">
        <v>607</v>
      </c>
      <c r="F1501" s="20">
        <f>18.35</f>
        <v>18.35</v>
      </c>
      <c r="H1501" s="20">
        <f>0.1*F1501</f>
        <v>1.8350000000000002</v>
      </c>
      <c r="J1501" s="20">
        <v>0</v>
      </c>
      <c r="L1501" s="20">
        <v>0</v>
      </c>
    </row>
    <row r="1502" spans="3:12" ht="12.75">
      <c r="C1502" s="17" t="s">
        <v>608</v>
      </c>
      <c r="L1502" s="17" t="s">
        <v>438</v>
      </c>
    </row>
    <row r="1503" spans="3:12" ht="12.75">
      <c r="C1503" s="17" t="s">
        <v>604</v>
      </c>
      <c r="F1503" s="20">
        <f>F1501</f>
        <v>18.35</v>
      </c>
      <c r="H1503" s="20">
        <f>(F1503+H1501)*0.5</f>
        <v>10.092500000000001</v>
      </c>
      <c r="J1503" s="20">
        <v>0</v>
      </c>
      <c r="L1503" s="20">
        <v>0</v>
      </c>
    </row>
    <row r="1504" spans="3:12" ht="12.75">
      <c r="C1504" s="17" t="s">
        <v>605</v>
      </c>
      <c r="L1504" s="17" t="s">
        <v>438</v>
      </c>
    </row>
    <row r="1505" spans="2:12" ht="12.75">
      <c r="B1505" s="17" t="s">
        <v>609</v>
      </c>
      <c r="C1505" s="17" t="s">
        <v>610</v>
      </c>
      <c r="F1505" s="20">
        <f>1389.02-127.34+30</f>
        <v>1291.68</v>
      </c>
      <c r="H1505" s="20">
        <f>0.1*F1505</f>
        <v>129.168</v>
      </c>
      <c r="J1505" s="20">
        <v>0</v>
      </c>
      <c r="L1505" s="20">
        <v>0</v>
      </c>
    </row>
    <row r="1506" spans="3:5" ht="12.75">
      <c r="C1506" s="17" t="s">
        <v>611</v>
      </c>
      <c r="E1506" s="27"/>
    </row>
    <row r="1507" spans="2:12" ht="12.75">
      <c r="B1507" s="17" t="s">
        <v>612</v>
      </c>
      <c r="C1507" s="17" t="s">
        <v>613</v>
      </c>
      <c r="F1507" s="20"/>
      <c r="H1507" s="20">
        <f>0.1*F1507</f>
        <v>0</v>
      </c>
      <c r="J1507" s="20">
        <f>E1312*0.3</f>
        <v>2032.35</v>
      </c>
      <c r="L1507" s="20">
        <f>0.1*J1507</f>
        <v>203.235</v>
      </c>
    </row>
    <row r="1508" ht="12.75">
      <c r="C1508" s="17" t="s">
        <v>614</v>
      </c>
    </row>
    <row r="1509" spans="2:12" ht="12.75">
      <c r="B1509" s="17" t="s">
        <v>615</v>
      </c>
      <c r="C1509" s="17" t="s">
        <v>616</v>
      </c>
      <c r="F1509" s="20">
        <v>129.15</v>
      </c>
      <c r="H1509" s="20">
        <f>0.4*F1509</f>
        <v>51.660000000000004</v>
      </c>
      <c r="J1509" s="20">
        <f>E1312*0.2</f>
        <v>1354.9</v>
      </c>
      <c r="L1509" s="20">
        <f>0.4*J1509</f>
        <v>541.96</v>
      </c>
    </row>
    <row r="1510" spans="2:12" ht="12.75">
      <c r="B1510" s="17" t="s">
        <v>618</v>
      </c>
      <c r="C1510" s="17" t="s">
        <v>619</v>
      </c>
      <c r="F1510" s="20">
        <f>741.18+9.15</f>
        <v>750.3299999999999</v>
      </c>
      <c r="H1510" s="20">
        <f>0.32*F1510</f>
        <v>240.10559999999998</v>
      </c>
      <c r="J1510" s="20">
        <v>0</v>
      </c>
      <c r="L1510" s="20">
        <v>0</v>
      </c>
    </row>
    <row r="1511" spans="2:12" ht="12.75">
      <c r="B1511" s="17" t="s">
        <v>620</v>
      </c>
      <c r="C1511" s="17" t="s">
        <v>621</v>
      </c>
      <c r="E1511" s="17" t="s">
        <v>495</v>
      </c>
      <c r="F1511" s="20">
        <v>189.95</v>
      </c>
      <c r="H1511" s="20">
        <f>0.55*F1511</f>
        <v>104.4725</v>
      </c>
      <c r="J1511" s="20">
        <v>0</v>
      </c>
      <c r="L1511" s="20">
        <v>0</v>
      </c>
    </row>
    <row r="1512" spans="2:12" ht="12.75">
      <c r="B1512" s="17" t="s">
        <v>622</v>
      </c>
      <c r="C1512" s="17" t="s">
        <v>623</v>
      </c>
      <c r="F1512" s="20">
        <f>185.89+5.1+104.12</f>
        <v>295.11</v>
      </c>
      <c r="H1512" s="20">
        <f>0.46*F1512</f>
        <v>135.75060000000002</v>
      </c>
      <c r="J1512" s="20">
        <f>E1312*0.5</f>
        <v>3387.25</v>
      </c>
      <c r="L1512" s="20">
        <f>0.46*J1512</f>
        <v>1558.135</v>
      </c>
    </row>
    <row r="1513" spans="2:12" ht="12.75">
      <c r="B1513" s="17" t="s">
        <v>624</v>
      </c>
      <c r="C1513" s="17" t="s">
        <v>625</v>
      </c>
      <c r="E1513" s="20">
        <f>SUM(F1498:F1512)+F1514-F1499-F1503</f>
        <v>2681.3999999999996</v>
      </c>
      <c r="F1513" s="20">
        <f>C1308-E1513</f>
        <v>39190.64</v>
      </c>
      <c r="H1513" s="20">
        <f>0.55*F1513</f>
        <v>21554.852000000003</v>
      </c>
      <c r="J1513" s="20">
        <v>0</v>
      </c>
      <c r="L1513" s="20">
        <v>0</v>
      </c>
    </row>
    <row r="1514" spans="2:12" ht="12.75">
      <c r="B1514" s="17" t="s">
        <v>626</v>
      </c>
      <c r="C1514" s="17" t="s">
        <v>627</v>
      </c>
      <c r="F1514" s="20">
        <v>2.16</v>
      </c>
      <c r="H1514" s="20">
        <f>1*F1514</f>
        <v>2.16</v>
      </c>
      <c r="J1514" s="20">
        <v>0</v>
      </c>
      <c r="L1514" s="20">
        <v>0</v>
      </c>
    </row>
    <row r="1515" spans="2:12" ht="12.75">
      <c r="B1515" s="18" t="s">
        <v>419</v>
      </c>
      <c r="C1515" s="18" t="s">
        <v>419</v>
      </c>
      <c r="D1515" s="18" t="s">
        <v>419</v>
      </c>
      <c r="E1515" s="18" t="s">
        <v>419</v>
      </c>
      <c r="F1515" s="18" t="s">
        <v>419</v>
      </c>
      <c r="G1515" s="18" t="s">
        <v>419</v>
      </c>
      <c r="H1515" s="18" t="s">
        <v>419</v>
      </c>
      <c r="I1515" s="18" t="s">
        <v>419</v>
      </c>
      <c r="J1515" s="18" t="s">
        <v>419</v>
      </c>
      <c r="K1515" s="18" t="s">
        <v>419</v>
      </c>
      <c r="L1515" s="18" t="s">
        <v>419</v>
      </c>
    </row>
    <row r="1516" spans="2:12" ht="12.75">
      <c r="B1516" s="17" t="s">
        <v>23</v>
      </c>
      <c r="F1516" s="20">
        <f>SUM(F1498:F1514)-F1498-F1501</f>
        <v>41872.04000000001</v>
      </c>
      <c r="H1516" s="20">
        <f>SUM(H1501:H1514)</f>
        <v>22230.096200000004</v>
      </c>
      <c r="L1516" s="20">
        <f>SUM(L1501:L1514)</f>
        <v>2303.33</v>
      </c>
    </row>
    <row r="1517" spans="2:12" ht="12.75">
      <c r="B1517" s="18" t="s">
        <v>419</v>
      </c>
      <c r="C1517" s="18" t="s">
        <v>419</v>
      </c>
      <c r="D1517" s="18" t="s">
        <v>419</v>
      </c>
      <c r="E1517" s="18" t="s">
        <v>419</v>
      </c>
      <c r="F1517" s="18" t="s">
        <v>419</v>
      </c>
      <c r="G1517" s="18" t="s">
        <v>419</v>
      </c>
      <c r="H1517" s="18" t="s">
        <v>419</v>
      </c>
      <c r="I1517" s="18" t="s">
        <v>419</v>
      </c>
      <c r="J1517" s="18" t="s">
        <v>419</v>
      </c>
      <c r="K1517" s="18" t="s">
        <v>419</v>
      </c>
      <c r="L1517" s="18" t="s">
        <v>419</v>
      </c>
    </row>
    <row r="1519" ht="12.75">
      <c r="B1519" s="17" t="s">
        <v>628</v>
      </c>
    </row>
    <row r="1520" spans="2:10" ht="12.75">
      <c r="B1520" s="18" t="s">
        <v>419</v>
      </c>
      <c r="C1520" s="18" t="s">
        <v>419</v>
      </c>
      <c r="D1520" s="18" t="s">
        <v>419</v>
      </c>
      <c r="E1520" s="18" t="s">
        <v>419</v>
      </c>
      <c r="F1520" s="18" t="s">
        <v>419</v>
      </c>
      <c r="G1520" s="18" t="s">
        <v>419</v>
      </c>
      <c r="H1520" s="18" t="s">
        <v>419</v>
      </c>
      <c r="I1520" s="18" t="s">
        <v>419</v>
      </c>
      <c r="J1520" s="18" t="s">
        <v>419</v>
      </c>
    </row>
    <row r="1521" spans="3:8" ht="12.75">
      <c r="C1521" s="17" t="s">
        <v>590</v>
      </c>
      <c r="D1521" s="17" t="s">
        <v>516</v>
      </c>
      <c r="E1521" s="17" t="s">
        <v>629</v>
      </c>
      <c r="H1521" s="17" t="s">
        <v>630</v>
      </c>
    </row>
    <row r="1522" spans="2:10" ht="12.75">
      <c r="B1522" s="17" t="s">
        <v>135</v>
      </c>
      <c r="C1522" s="17" t="s">
        <v>592</v>
      </c>
      <c r="E1522" s="17" t="s">
        <v>593</v>
      </c>
      <c r="F1522" s="17" t="s">
        <v>438</v>
      </c>
      <c r="G1522" s="17" t="s">
        <v>426</v>
      </c>
      <c r="H1522" s="17" t="s">
        <v>593</v>
      </c>
      <c r="I1522" s="17" t="s">
        <v>438</v>
      </c>
      <c r="J1522" s="17" t="s">
        <v>426</v>
      </c>
    </row>
    <row r="1523" spans="2:10" ht="12.75">
      <c r="B1523" s="18" t="s">
        <v>419</v>
      </c>
      <c r="C1523" s="18" t="s">
        <v>419</v>
      </c>
      <c r="D1523" s="18" t="s">
        <v>419</v>
      </c>
      <c r="E1523" s="18" t="s">
        <v>419</v>
      </c>
      <c r="F1523" s="18" t="s">
        <v>419</v>
      </c>
      <c r="G1523" s="18" t="s">
        <v>419</v>
      </c>
      <c r="H1523" s="18" t="s">
        <v>419</v>
      </c>
      <c r="I1523" s="18" t="s">
        <v>419</v>
      </c>
      <c r="J1523" s="18" t="s">
        <v>419</v>
      </c>
    </row>
    <row r="1524" spans="2:10" ht="12.75">
      <c r="B1524" s="20">
        <v>30</v>
      </c>
      <c r="C1524" s="20" t="str">
        <f>H1346</f>
        <v>At 26%</v>
      </c>
      <c r="D1524" s="22">
        <f>ROUND((1/((1+$E$101)^B1524)),4)</f>
        <v>1</v>
      </c>
      <c r="E1524" s="20" t="str">
        <f>$H$311</f>
        <v>-</v>
      </c>
      <c r="G1524" s="20" t="str">
        <f>$L$311</f>
        <v>-</v>
      </c>
      <c r="H1524" s="20" t="e">
        <f>D1524*E1524</f>
        <v>#VALUE!</v>
      </c>
      <c r="J1524" s="20" t="e">
        <f>D1524*G1524</f>
        <v>#VALUE!</v>
      </c>
    </row>
    <row r="1525" spans="2:10" ht="12.75">
      <c r="B1525" s="20">
        <v>30</v>
      </c>
      <c r="C1525" s="20" t="str">
        <f>H1348</f>
        <v>At 27%</v>
      </c>
      <c r="D1525" s="22">
        <f>ROUND((1/((1+$E$103)^B1525)),4)</f>
        <v>1</v>
      </c>
      <c r="E1525" s="20" t="str">
        <f>$H$311</f>
        <v>-</v>
      </c>
      <c r="G1525" s="20" t="str">
        <f>$L$311</f>
        <v>-</v>
      </c>
      <c r="H1525" s="20" t="e">
        <f>D1525*E1525</f>
        <v>#VALUE!</v>
      </c>
      <c r="J1525" s="20" t="e">
        <f>D1525*G1525</f>
        <v>#VALUE!</v>
      </c>
    </row>
    <row r="1526" spans="2:10" ht="12.75">
      <c r="B1526" s="18" t="s">
        <v>419</v>
      </c>
      <c r="C1526" s="18" t="s">
        <v>419</v>
      </c>
      <c r="D1526" s="18" t="s">
        <v>419</v>
      </c>
      <c r="E1526" s="18" t="s">
        <v>419</v>
      </c>
      <c r="F1526" s="18" t="s">
        <v>419</v>
      </c>
      <c r="G1526" s="18" t="s">
        <v>419</v>
      </c>
      <c r="H1526" s="18" t="s">
        <v>419</v>
      </c>
      <c r="I1526" s="18" t="s">
        <v>419</v>
      </c>
      <c r="J1526" s="18" t="s">
        <v>419</v>
      </c>
    </row>
    <row r="1528" ht="12.75">
      <c r="B1528" s="17" t="s">
        <v>700</v>
      </c>
    </row>
    <row r="1529" spans="2:7" ht="12.75">
      <c r="B1529" s="18" t="s">
        <v>632</v>
      </c>
      <c r="C1529" s="18" t="s">
        <v>632</v>
      </c>
      <c r="D1529" s="18" t="s">
        <v>632</v>
      </c>
      <c r="E1529" s="18" t="s">
        <v>632</v>
      </c>
      <c r="F1529" s="18" t="s">
        <v>632</v>
      </c>
      <c r="G1529" s="18" t="s">
        <v>632</v>
      </c>
    </row>
    <row r="1530" spans="2:8" ht="12.75">
      <c r="B1530" s="17" t="s">
        <v>633</v>
      </c>
      <c r="E1530" s="17" t="s">
        <v>634</v>
      </c>
      <c r="H1530" s="20">
        <v>0</v>
      </c>
    </row>
    <row r="1532" ht="12.75">
      <c r="B1532" s="17" t="s">
        <v>559</v>
      </c>
    </row>
    <row r="1533" spans="2:6" ht="12.75">
      <c r="B1533" s="18" t="s">
        <v>419</v>
      </c>
      <c r="C1533" s="18" t="s">
        <v>560</v>
      </c>
      <c r="D1533" s="18" t="s">
        <v>419</v>
      </c>
      <c r="E1533" s="18" t="s">
        <v>419</v>
      </c>
      <c r="F1533" s="18" t="s">
        <v>419</v>
      </c>
    </row>
    <row r="1534" spans="2:8" ht="12.75">
      <c r="B1534" s="20" t="str">
        <f>H1346</f>
        <v>At 26%</v>
      </c>
      <c r="C1534" s="17" t="s">
        <v>494</v>
      </c>
      <c r="F1534" s="20">
        <v>30</v>
      </c>
      <c r="G1534" s="22" t="e">
        <f>ROUND((((1+$E$101)^(F1534))-1)/(($E$101)*((1+$E$101)^F1534)),4)</f>
        <v>#DIV/0!</v>
      </c>
      <c r="H1534" s="20">
        <f>$G$329*$H$325</f>
        <v>0</v>
      </c>
    </row>
    <row r="1535" ht="12.75">
      <c r="B1535" s="17" t="s">
        <v>438</v>
      </c>
    </row>
    <row r="1536" spans="2:8" ht="12.75">
      <c r="B1536" s="20" t="str">
        <f>H1348</f>
        <v>At 27%</v>
      </c>
      <c r="C1536" s="17" t="s">
        <v>494</v>
      </c>
      <c r="F1536" s="20">
        <v>30</v>
      </c>
      <c r="G1536" s="22" t="e">
        <f>ROUND((((1+$E$103)^(F1536))-1)/(($E$103)*((1+$E$103)^F1536)),4)</f>
        <v>#DIV/0!</v>
      </c>
      <c r="H1536" s="20">
        <f>$G$331*$H$325</f>
        <v>0</v>
      </c>
    </row>
    <row r="1538" ht="12.75">
      <c r="A1538" s="17" t="s">
        <v>467</v>
      </c>
    </row>
    <row r="1540" ht="12.75">
      <c r="D1540" s="17"/>
    </row>
    <row r="1541" ht="12.75">
      <c r="B1541" s="17" t="s">
        <v>701</v>
      </c>
    </row>
    <row r="1542" spans="2:11" ht="12.75">
      <c r="B1542" s="18" t="s">
        <v>419</v>
      </c>
      <c r="C1542" s="18" t="s">
        <v>419</v>
      </c>
      <c r="D1542" s="18" t="s">
        <v>419</v>
      </c>
      <c r="E1542" s="18" t="s">
        <v>419</v>
      </c>
      <c r="F1542" s="18" t="s">
        <v>419</v>
      </c>
      <c r="G1542" s="18" t="s">
        <v>419</v>
      </c>
      <c r="H1542" s="18" t="s">
        <v>419</v>
      </c>
      <c r="I1542" s="18" t="s">
        <v>419</v>
      </c>
      <c r="J1542" s="18" t="s">
        <v>419</v>
      </c>
      <c r="K1542" s="18" t="s">
        <v>419</v>
      </c>
    </row>
    <row r="1543" ht="12.75">
      <c r="E1543" s="17" t="s">
        <v>702</v>
      </c>
    </row>
    <row r="1544" spans="5:8" ht="12.75">
      <c r="E1544" s="18" t="s">
        <v>419</v>
      </c>
      <c r="F1544" s="18" t="s">
        <v>419</v>
      </c>
      <c r="G1544" s="18" t="s">
        <v>419</v>
      </c>
      <c r="H1544" s="18" t="s">
        <v>419</v>
      </c>
    </row>
    <row r="1545" spans="2:16" ht="12.75">
      <c r="B1545" s="18" t="s">
        <v>419</v>
      </c>
      <c r="C1545" s="18" t="s">
        <v>419</v>
      </c>
      <c r="D1545" s="18" t="s">
        <v>419</v>
      </c>
      <c r="E1545" s="18" t="s">
        <v>419</v>
      </c>
      <c r="F1545" s="18" t="s">
        <v>419</v>
      </c>
      <c r="G1545" s="18" t="s">
        <v>419</v>
      </c>
      <c r="H1545" s="18" t="s">
        <v>419</v>
      </c>
      <c r="I1545" s="18" t="s">
        <v>419</v>
      </c>
      <c r="J1545" s="18" t="s">
        <v>419</v>
      </c>
      <c r="K1545" s="18" t="s">
        <v>419</v>
      </c>
      <c r="L1545" s="18" t="s">
        <v>419</v>
      </c>
      <c r="M1545" s="18" t="s">
        <v>419</v>
      </c>
      <c r="N1545" s="18" t="s">
        <v>419</v>
      </c>
      <c r="O1545" s="18" t="s">
        <v>419</v>
      </c>
      <c r="P1545" s="18" t="s">
        <v>419</v>
      </c>
    </row>
    <row r="1546" spans="2:10" ht="12.75">
      <c r="B1546" s="17" t="s">
        <v>637</v>
      </c>
      <c r="C1546" s="17" t="s">
        <v>638</v>
      </c>
      <c r="F1546" s="17" t="s">
        <v>427</v>
      </c>
      <c r="J1546" s="17" t="s">
        <v>639</v>
      </c>
    </row>
    <row r="1547" spans="6:12" ht="12.75">
      <c r="F1547" s="17" t="s">
        <v>640</v>
      </c>
      <c r="J1547" s="18" t="s">
        <v>419</v>
      </c>
      <c r="K1547" s="18" t="s">
        <v>419</v>
      </c>
      <c r="L1547" s="18" t="s">
        <v>419</v>
      </c>
    </row>
    <row r="1548" spans="6:14" ht="12.75">
      <c r="F1548" s="17" t="s">
        <v>641</v>
      </c>
      <c r="H1548" s="20" t="str">
        <f>H1346</f>
        <v>At 26%</v>
      </c>
      <c r="I1548" s="17" t="s">
        <v>494</v>
      </c>
      <c r="M1548" s="20" t="str">
        <f>H1348</f>
        <v>At 27%</v>
      </c>
      <c r="N1548" s="17" t="s">
        <v>494</v>
      </c>
    </row>
    <row r="1549" spans="8:15" ht="12.75">
      <c r="H1549" s="21" t="s">
        <v>500</v>
      </c>
      <c r="J1549" s="21" t="s">
        <v>426</v>
      </c>
      <c r="K1549" s="17" t="s">
        <v>438</v>
      </c>
      <c r="L1549" s="17" t="s">
        <v>438</v>
      </c>
      <c r="M1549" s="17" t="s">
        <v>500</v>
      </c>
      <c r="O1549" s="21" t="s">
        <v>426</v>
      </c>
    </row>
    <row r="1550" spans="2:16" ht="12.75">
      <c r="B1550" s="18" t="s">
        <v>419</v>
      </c>
      <c r="C1550" s="18" t="s">
        <v>419</v>
      </c>
      <c r="D1550" s="18" t="s">
        <v>419</v>
      </c>
      <c r="E1550" s="18" t="s">
        <v>419</v>
      </c>
      <c r="F1550" s="18" t="s">
        <v>419</v>
      </c>
      <c r="G1550" s="18" t="s">
        <v>419</v>
      </c>
      <c r="H1550" s="18" t="s">
        <v>419</v>
      </c>
      <c r="I1550" s="18" t="s">
        <v>419</v>
      </c>
      <c r="J1550" s="18" t="s">
        <v>419</v>
      </c>
      <c r="K1550" s="18" t="s">
        <v>419</v>
      </c>
      <c r="L1550" s="18" t="s">
        <v>419</v>
      </c>
      <c r="M1550" s="18" t="s">
        <v>419</v>
      </c>
      <c r="N1550" s="18" t="s">
        <v>419</v>
      </c>
      <c r="O1550" s="18" t="s">
        <v>419</v>
      </c>
      <c r="P1550" s="18" t="s">
        <v>419</v>
      </c>
    </row>
    <row r="1551" spans="2:15" ht="12.75">
      <c r="B1551" s="17" t="s">
        <v>602</v>
      </c>
      <c r="C1551" s="17" t="s">
        <v>642</v>
      </c>
      <c r="F1551" s="17" t="s">
        <v>643</v>
      </c>
      <c r="H1551" s="20">
        <f>I1370</f>
        <v>41895.06</v>
      </c>
      <c r="J1551" s="20">
        <f>J1370</f>
        <v>0</v>
      </c>
      <c r="M1551" s="20">
        <f>M1370</f>
        <v>41895.06</v>
      </c>
      <c r="O1551" s="20">
        <f>N1370</f>
        <v>0</v>
      </c>
    </row>
    <row r="1553" spans="2:15" ht="12.75">
      <c r="B1553" s="17" t="s">
        <v>606</v>
      </c>
      <c r="C1553" s="17" t="s">
        <v>644</v>
      </c>
      <c r="F1553" s="17" t="s">
        <v>645</v>
      </c>
      <c r="H1553" s="20">
        <f>H1391</f>
        <v>17316</v>
      </c>
      <c r="J1553" s="20">
        <f>I1391</f>
        <v>28156.699999999997</v>
      </c>
      <c r="M1553" s="20">
        <f>L1391</f>
        <v>17316</v>
      </c>
      <c r="O1553" s="20">
        <f>M1391</f>
        <v>28156.699999999997</v>
      </c>
    </row>
    <row r="1555" spans="2:3" ht="12.75">
      <c r="B1555" s="17" t="s">
        <v>609</v>
      </c>
      <c r="C1555" s="17" t="s">
        <v>646</v>
      </c>
    </row>
    <row r="1556" spans="3:15" ht="12.75">
      <c r="C1556" s="17" t="s">
        <v>647</v>
      </c>
      <c r="F1556" s="17" t="s">
        <v>648</v>
      </c>
      <c r="H1556" s="20" t="e">
        <f>R1410</f>
        <v>#VALUE!</v>
      </c>
      <c r="J1556" s="20" t="e">
        <f>S1410</f>
        <v>#DIV/0!</v>
      </c>
      <c r="M1556" s="20" t="e">
        <f>W1410</f>
        <v>#VALUE!</v>
      </c>
      <c r="O1556" s="20" t="e">
        <f>X1410</f>
        <v>#DIV/0!</v>
      </c>
    </row>
    <row r="1558" spans="3:15" ht="12.75">
      <c r="C1558" s="17" t="s">
        <v>649</v>
      </c>
      <c r="F1558" s="17" t="s">
        <v>650</v>
      </c>
      <c r="H1558" s="20" t="e">
        <f>Q1427</f>
        <v>#DIV/0!</v>
      </c>
      <c r="J1558" s="20" t="e">
        <f>R1427</f>
        <v>#DIV/0!</v>
      </c>
      <c r="M1558" s="20" t="e">
        <f>V1427</f>
        <v>#DIV/0!</v>
      </c>
      <c r="O1558" s="20" t="e">
        <f>W1427</f>
        <v>#DIV/0!</v>
      </c>
    </row>
    <row r="1560" spans="2:3" ht="12.75">
      <c r="B1560" s="17" t="s">
        <v>612</v>
      </c>
      <c r="C1560" s="17" t="s">
        <v>651</v>
      </c>
    </row>
    <row r="1561" spans="3:15" ht="12.75">
      <c r="C1561" s="17" t="s">
        <v>652</v>
      </c>
      <c r="F1561" s="17" t="s">
        <v>653</v>
      </c>
      <c r="H1561" s="20" t="e">
        <f>K1444</f>
        <v>#REF!</v>
      </c>
      <c r="J1561" s="20" t="e">
        <f>L1444</f>
        <v>#REF!</v>
      </c>
      <c r="M1561" s="20" t="e">
        <f>P1444</f>
        <v>#REF!</v>
      </c>
      <c r="O1561" s="20" t="e">
        <f>Q1444</f>
        <v>#REF!</v>
      </c>
    </row>
    <row r="1563" spans="3:15" ht="12.75">
      <c r="C1563" s="17" t="s">
        <v>654</v>
      </c>
      <c r="F1563" s="17" t="s">
        <v>655</v>
      </c>
      <c r="H1563" s="20">
        <f>H1458</f>
        <v>1410.73</v>
      </c>
      <c r="J1563" s="20">
        <v>0</v>
      </c>
      <c r="M1563" s="20">
        <f>H1460</f>
        <v>1358.78</v>
      </c>
      <c r="O1563" s="20">
        <v>0</v>
      </c>
    </row>
    <row r="1565" spans="2:3" ht="12.75">
      <c r="B1565" s="17" t="s">
        <v>615</v>
      </c>
      <c r="C1565" s="17" t="s">
        <v>656</v>
      </c>
    </row>
    <row r="1566" spans="3:15" ht="12.75">
      <c r="C1566" s="17" t="s">
        <v>652</v>
      </c>
      <c r="F1566" s="17" t="s">
        <v>657</v>
      </c>
      <c r="H1566" s="20" t="e">
        <f>-H1487</f>
        <v>#VALUE!</v>
      </c>
      <c r="J1566" s="20" t="e">
        <f>-J1487</f>
        <v>#VALUE!</v>
      </c>
      <c r="M1566" s="20" t="e">
        <f>-H1488</f>
        <v>#VALUE!</v>
      </c>
      <c r="O1566" s="20" t="e">
        <f>-J1488</f>
        <v>#VALUE!</v>
      </c>
    </row>
    <row r="1568" spans="3:15" ht="12.75">
      <c r="C1568" s="17" t="s">
        <v>654</v>
      </c>
      <c r="F1568" s="17" t="s">
        <v>658</v>
      </c>
      <c r="H1568" s="20" t="e">
        <f>-H1524</f>
        <v>#VALUE!</v>
      </c>
      <c r="J1568" s="20" t="e">
        <f>-J1524</f>
        <v>#VALUE!</v>
      </c>
      <c r="M1568" s="20" t="e">
        <f>-H1525</f>
        <v>#VALUE!</v>
      </c>
      <c r="O1568" s="20" t="e">
        <f>-J1525</f>
        <v>#VALUE!</v>
      </c>
    </row>
    <row r="1569" spans="2:3" ht="12.75">
      <c r="B1569" s="17" t="s">
        <v>618</v>
      </c>
      <c r="C1569" s="17" t="s">
        <v>659</v>
      </c>
    </row>
    <row r="1570" spans="3:13" ht="12.75">
      <c r="C1570" s="17" t="s">
        <v>660</v>
      </c>
      <c r="H1570" s="20">
        <f>-H1534</f>
        <v>0</v>
      </c>
      <c r="M1570" s="20">
        <f>-H1536</f>
        <v>0</v>
      </c>
    </row>
    <row r="1571" spans="2:16" ht="12.75">
      <c r="B1571" s="18" t="s">
        <v>419</v>
      </c>
      <c r="C1571" s="18" t="s">
        <v>419</v>
      </c>
      <c r="D1571" s="18" t="s">
        <v>419</v>
      </c>
      <c r="E1571" s="18" t="s">
        <v>419</v>
      </c>
      <c r="F1571" s="18" t="s">
        <v>419</v>
      </c>
      <c r="G1571" s="18" t="s">
        <v>419</v>
      </c>
      <c r="H1571" s="18" t="s">
        <v>419</v>
      </c>
      <c r="I1571" s="18" t="s">
        <v>419</v>
      </c>
      <c r="J1571" s="18" t="s">
        <v>419</v>
      </c>
      <c r="K1571" s="18" t="s">
        <v>419</v>
      </c>
      <c r="L1571" s="18" t="s">
        <v>419</v>
      </c>
      <c r="M1571" s="18" t="s">
        <v>419</v>
      </c>
      <c r="N1571" s="18" t="s">
        <v>419</v>
      </c>
      <c r="O1571" s="18" t="s">
        <v>419</v>
      </c>
      <c r="P1571" s="18" t="s">
        <v>419</v>
      </c>
    </row>
    <row r="1572" spans="3:15" ht="12.75">
      <c r="C1572" s="17" t="s">
        <v>23</v>
      </c>
      <c r="H1572" s="20" t="e">
        <f>SUM(H1551:H1570)</f>
        <v>#VALUE!</v>
      </c>
      <c r="J1572" s="20" t="e">
        <f>SUM(J1551:J1568)</f>
        <v>#DIV/0!</v>
      </c>
      <c r="M1572" s="20" t="e">
        <f>SUM(M1551:M1570)</f>
        <v>#VALUE!</v>
      </c>
      <c r="N1572" s="17" t="s">
        <v>438</v>
      </c>
      <c r="O1572" s="20" t="e">
        <f>SUM(O1551:O1568)</f>
        <v>#DIV/0!</v>
      </c>
    </row>
    <row r="1573" spans="2:16" ht="12.75">
      <c r="B1573" s="18" t="s">
        <v>419</v>
      </c>
      <c r="C1573" s="18" t="s">
        <v>419</v>
      </c>
      <c r="D1573" s="18" t="s">
        <v>419</v>
      </c>
      <c r="E1573" s="18" t="s">
        <v>419</v>
      </c>
      <c r="F1573" s="18" t="s">
        <v>419</v>
      </c>
      <c r="G1573" s="18" t="s">
        <v>419</v>
      </c>
      <c r="H1573" s="18" t="s">
        <v>419</v>
      </c>
      <c r="I1573" s="18" t="s">
        <v>419</v>
      </c>
      <c r="J1573" s="18" t="s">
        <v>419</v>
      </c>
      <c r="K1573" s="18" t="s">
        <v>419</v>
      </c>
      <c r="L1573" s="18" t="s">
        <v>419</v>
      </c>
      <c r="M1573" s="18" t="s">
        <v>419</v>
      </c>
      <c r="N1573" s="18" t="s">
        <v>419</v>
      </c>
      <c r="O1573" s="18" t="s">
        <v>419</v>
      </c>
      <c r="P1573" s="18" t="s">
        <v>419</v>
      </c>
    </row>
    <row r="1576" spans="4:7" ht="12.75">
      <c r="D1576" s="17" t="s">
        <v>661</v>
      </c>
      <c r="G1576" s="20" t="e">
        <f>(E1346*100)+((((E1348*100)-(E1346*100))*(J1572-H1572))/((J1572-H1572)+(M1572-O1572)))</f>
        <v>#DIV/0!</v>
      </c>
    </row>
    <row r="1577" spans="4:7" ht="12.75">
      <c r="D1577" s="18" t="s">
        <v>419</v>
      </c>
      <c r="E1577" s="18" t="s">
        <v>419</v>
      </c>
      <c r="F1577" s="18" t="s">
        <v>419</v>
      </c>
      <c r="G1577" s="18" t="s">
        <v>419</v>
      </c>
    </row>
    <row r="1578" ht="12.75">
      <c r="A1578" s="17" t="s">
        <v>467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5">
      <selection activeCell="G12" sqref="G12"/>
    </sheetView>
  </sheetViews>
  <sheetFormatPr defaultColWidth="9.140625" defaultRowHeight="12.75"/>
  <cols>
    <col min="1" max="1" width="11.421875" style="28" customWidth="1"/>
    <col min="2" max="2" width="9.281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tr">
        <f>Bihar!G2</f>
        <v>31.3.2005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18" customHeight="1">
      <c r="A4" s="30"/>
      <c r="B4" s="30"/>
      <c r="C4" s="30"/>
      <c r="D4" s="90" t="s">
        <v>940</v>
      </c>
      <c r="E4" s="90"/>
      <c r="F4" s="30"/>
      <c r="G4" s="30"/>
    </row>
    <row r="5" spans="1:6" ht="12.75">
      <c r="A5" s="88" t="s">
        <v>718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1070</v>
      </c>
      <c r="E7" s="31">
        <v>0</v>
      </c>
      <c r="F7" s="31">
        <v>89</v>
      </c>
      <c r="G7" s="31">
        <f>SUM(D7:F7)</f>
        <v>1159</v>
      </c>
    </row>
    <row r="8" spans="1:7" ht="12.75">
      <c r="A8" s="87" t="s">
        <v>92</v>
      </c>
      <c r="B8" s="87"/>
      <c r="C8" s="87"/>
      <c r="D8" s="31">
        <v>861</v>
      </c>
      <c r="E8" s="31">
        <v>0</v>
      </c>
      <c r="F8" s="31">
        <v>0</v>
      </c>
      <c r="G8" s="31">
        <f>SUM(D8:F8)</f>
        <v>861</v>
      </c>
    </row>
    <row r="9" spans="1:7" ht="12.75">
      <c r="A9" s="87" t="s">
        <v>878</v>
      </c>
      <c r="B9" s="87"/>
      <c r="C9" s="87"/>
      <c r="D9" s="40">
        <f>D8/D7*100</f>
        <v>80.46728971962617</v>
      </c>
      <c r="E9" s="40">
        <v>0</v>
      </c>
      <c r="F9" s="40">
        <f>F8/F7*100</f>
        <v>0</v>
      </c>
      <c r="G9" s="40">
        <f>G8/G7*100</f>
        <v>74.28817946505607</v>
      </c>
    </row>
    <row r="10" spans="4:7" ht="12.75">
      <c r="D10" s="31"/>
      <c r="E10" s="31"/>
      <c r="F10" s="31"/>
      <c r="G10" s="31"/>
    </row>
    <row r="11" ht="17.25" customHeight="1">
      <c r="A11" s="34" t="s">
        <v>941</v>
      </c>
    </row>
    <row r="12" spans="1:7" ht="25.5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2:7" ht="18" customHeight="1">
      <c r="B13" s="29" t="s">
        <v>5</v>
      </c>
      <c r="C13" s="28" t="s">
        <v>178</v>
      </c>
      <c r="D13" s="31"/>
      <c r="E13" s="28">
        <v>382</v>
      </c>
      <c r="G13" s="28" t="s">
        <v>179</v>
      </c>
    </row>
    <row r="14" spans="2:7" ht="18" customHeight="1">
      <c r="B14" s="29" t="s">
        <v>6</v>
      </c>
      <c r="C14" s="28" t="s">
        <v>770</v>
      </c>
      <c r="D14" s="31"/>
      <c r="E14" s="28">
        <v>180</v>
      </c>
      <c r="G14" s="28" t="s">
        <v>180</v>
      </c>
    </row>
    <row r="15" spans="2:7" ht="18" customHeight="1">
      <c r="B15" s="29" t="s">
        <v>7</v>
      </c>
      <c r="C15" s="28" t="s">
        <v>944</v>
      </c>
      <c r="E15" s="28">
        <v>45</v>
      </c>
      <c r="G15" s="28" t="s">
        <v>109</v>
      </c>
    </row>
    <row r="16" spans="2:7" ht="18" customHeight="1">
      <c r="B16" s="29" t="s">
        <v>8</v>
      </c>
      <c r="C16" s="28" t="s">
        <v>779</v>
      </c>
      <c r="E16" s="28">
        <v>66</v>
      </c>
      <c r="G16" s="28" t="s">
        <v>110</v>
      </c>
    </row>
    <row r="17" spans="2:7" ht="18" customHeight="1">
      <c r="B17" s="29" t="s">
        <v>32</v>
      </c>
      <c r="C17" s="28" t="s">
        <v>935</v>
      </c>
      <c r="E17" s="28">
        <v>19</v>
      </c>
      <c r="G17" s="28" t="s">
        <v>110</v>
      </c>
    </row>
    <row r="18" spans="2:7" ht="18" customHeight="1">
      <c r="B18" s="29" t="s">
        <v>35</v>
      </c>
      <c r="C18" s="28" t="s">
        <v>936</v>
      </c>
      <c r="E18" s="28">
        <v>42</v>
      </c>
      <c r="G18" s="28" t="s">
        <v>110</v>
      </c>
    </row>
    <row r="19" spans="2:7" ht="18" customHeight="1">
      <c r="B19" s="29" t="s">
        <v>38</v>
      </c>
      <c r="C19" s="83" t="s">
        <v>937</v>
      </c>
      <c r="D19" s="83"/>
      <c r="E19" s="28">
        <v>58</v>
      </c>
      <c r="G19" s="28" t="s">
        <v>111</v>
      </c>
    </row>
    <row r="20" spans="2:7" ht="18" customHeight="1">
      <c r="B20" s="29" t="s">
        <v>43</v>
      </c>
      <c r="C20" s="83" t="s">
        <v>938</v>
      </c>
      <c r="D20" s="83"/>
      <c r="E20" s="28">
        <v>15</v>
      </c>
      <c r="G20" s="28" t="s">
        <v>111</v>
      </c>
    </row>
    <row r="21" spans="2:7" ht="18" customHeight="1">
      <c r="B21" s="29" t="s">
        <v>44</v>
      </c>
      <c r="C21" s="83" t="s">
        <v>943</v>
      </c>
      <c r="D21" s="83"/>
      <c r="E21" s="28">
        <v>20</v>
      </c>
      <c r="G21" s="28" t="s">
        <v>111</v>
      </c>
    </row>
    <row r="22" spans="1:7" ht="18" customHeight="1">
      <c r="A22" s="1"/>
      <c r="B22" s="29" t="s">
        <v>46</v>
      </c>
      <c r="C22" s="83" t="s">
        <v>939</v>
      </c>
      <c r="D22" s="83"/>
      <c r="E22" s="28">
        <v>9</v>
      </c>
      <c r="G22" s="28" t="s">
        <v>111</v>
      </c>
    </row>
    <row r="23" spans="1:7" ht="18" customHeight="1">
      <c r="A23" s="1"/>
      <c r="B23" s="29" t="s">
        <v>48</v>
      </c>
      <c r="C23" s="28" t="s">
        <v>785</v>
      </c>
      <c r="D23" s="46"/>
      <c r="E23" s="28">
        <v>25</v>
      </c>
      <c r="G23" s="28" t="s">
        <v>45</v>
      </c>
    </row>
    <row r="24" spans="2:8" ht="18" customHeight="1">
      <c r="B24" s="29"/>
      <c r="C24" s="34" t="s">
        <v>82</v>
      </c>
      <c r="D24" s="31"/>
      <c r="E24" s="34">
        <f>SUM(E13:E23)</f>
        <v>861</v>
      </c>
      <c r="H24" s="29"/>
    </row>
    <row r="25" spans="1:8" ht="18" customHeight="1">
      <c r="A25" s="34" t="s">
        <v>942</v>
      </c>
      <c r="H25" s="29"/>
    </row>
    <row r="26" spans="1:8" ht="18" customHeight="1">
      <c r="A26" s="34"/>
      <c r="F26" s="29" t="s">
        <v>728</v>
      </c>
      <c r="H26" s="29"/>
    </row>
    <row r="27" spans="1:8" ht="10.5" customHeight="1">
      <c r="A27" s="34"/>
      <c r="H27" s="29"/>
    </row>
    <row r="28" spans="1:3" ht="18" customHeight="1">
      <c r="A28" s="34" t="s">
        <v>949</v>
      </c>
      <c r="B28" s="34"/>
      <c r="C28" s="34"/>
    </row>
    <row r="29" spans="1:6" ht="18" customHeight="1">
      <c r="A29" s="34"/>
      <c r="B29" s="34"/>
      <c r="C29" s="34"/>
      <c r="F29" s="29" t="s">
        <v>728</v>
      </c>
    </row>
    <row r="30" spans="1:4" ht="16.5" customHeight="1">
      <c r="A30" s="34" t="s">
        <v>950</v>
      </c>
      <c r="B30" s="34"/>
      <c r="C30" s="34"/>
      <c r="D30" s="34"/>
    </row>
    <row r="31" spans="2:3" ht="15" customHeight="1">
      <c r="B31" s="35" t="s">
        <v>12</v>
      </c>
      <c r="C31" s="63" t="s">
        <v>90</v>
      </c>
    </row>
    <row r="32" spans="2:4" ht="12.75" customHeight="1">
      <c r="B32" s="28" t="s">
        <v>901</v>
      </c>
      <c r="C32" s="29" t="s">
        <v>728</v>
      </c>
      <c r="D32" s="31"/>
    </row>
    <row r="33" spans="2:4" ht="12.75">
      <c r="B33" s="28" t="s">
        <v>957</v>
      </c>
      <c r="C33" s="29" t="s">
        <v>728</v>
      </c>
      <c r="D33" s="31"/>
    </row>
    <row r="34" spans="2:3" ht="12.75">
      <c r="B34" s="28" t="s">
        <v>985</v>
      </c>
      <c r="C34" s="29" t="s">
        <v>728</v>
      </c>
    </row>
    <row r="35" spans="2:3" ht="12.75">
      <c r="B35" s="28" t="s">
        <v>1019</v>
      </c>
      <c r="C35" s="29" t="s">
        <v>728</v>
      </c>
    </row>
  </sheetData>
  <mergeCells count="12">
    <mergeCell ref="F1:G1"/>
    <mergeCell ref="A3:G3"/>
    <mergeCell ref="D4:E4"/>
    <mergeCell ref="A5:F5"/>
    <mergeCell ref="C22:D22"/>
    <mergeCell ref="A7:C7"/>
    <mergeCell ref="A8:C8"/>
    <mergeCell ref="A9:C9"/>
    <mergeCell ref="C12:D12"/>
    <mergeCell ref="C19:D19"/>
    <mergeCell ref="C20:D20"/>
    <mergeCell ref="C21:D2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6">
      <selection activeCell="G12" sqref="G12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21" customHeight="1">
      <c r="A4" s="30"/>
      <c r="B4" s="30"/>
      <c r="C4" s="30"/>
      <c r="D4" s="86" t="s">
        <v>730</v>
      </c>
      <c r="E4" s="86"/>
      <c r="F4" s="30"/>
      <c r="G4" s="30"/>
    </row>
    <row r="5" spans="1:6" ht="12.75">
      <c r="A5" s="88" t="s">
        <v>718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156</v>
      </c>
      <c r="E7" s="31">
        <v>22</v>
      </c>
      <c r="F7" s="31">
        <v>0</v>
      </c>
      <c r="G7" s="31">
        <f>SUM(D7:F7)</f>
        <v>178</v>
      </c>
    </row>
    <row r="8" spans="1:7" ht="12.75">
      <c r="A8" s="87" t="s">
        <v>92</v>
      </c>
      <c r="B8" s="87"/>
      <c r="C8" s="87"/>
      <c r="D8" s="31">
        <f>129</f>
        <v>129</v>
      </c>
      <c r="E8" s="31">
        <v>0</v>
      </c>
      <c r="F8" s="31">
        <v>0</v>
      </c>
      <c r="G8" s="31">
        <f>SUM(D8:F8)</f>
        <v>129</v>
      </c>
    </row>
    <row r="9" spans="1:7" ht="12.75">
      <c r="A9" s="87" t="s">
        <v>878</v>
      </c>
      <c r="B9" s="87"/>
      <c r="C9" s="87"/>
      <c r="D9" s="40">
        <f>D8/D7*100</f>
        <v>82.6923076923077</v>
      </c>
      <c r="E9" s="40">
        <f>E8/E7*100</f>
        <v>0</v>
      </c>
      <c r="F9" s="40">
        <v>0</v>
      </c>
      <c r="G9" s="40">
        <f>G8/G7*100</f>
        <v>72.47191011235955</v>
      </c>
    </row>
    <row r="10" spans="4:7" ht="14.25" customHeight="1">
      <c r="D10" s="31"/>
      <c r="E10" s="31"/>
      <c r="F10" s="31"/>
      <c r="G10" s="31"/>
    </row>
    <row r="11" ht="21.75" customHeight="1">
      <c r="A11" s="34" t="s">
        <v>731</v>
      </c>
    </row>
    <row r="12" spans="1:7" ht="25.5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2:7" ht="17.25" customHeight="1">
      <c r="B13" s="29" t="s">
        <v>5</v>
      </c>
      <c r="C13" s="83" t="s">
        <v>733</v>
      </c>
      <c r="D13" s="83"/>
      <c r="E13" s="28">
        <v>89</v>
      </c>
      <c r="G13" s="28" t="s">
        <v>734</v>
      </c>
    </row>
    <row r="14" spans="2:7" ht="18" customHeight="1">
      <c r="B14" s="29" t="s">
        <v>6</v>
      </c>
      <c r="C14" s="83" t="s">
        <v>735</v>
      </c>
      <c r="D14" s="83"/>
      <c r="E14" s="28">
        <v>9</v>
      </c>
      <c r="G14" s="28" t="s">
        <v>37</v>
      </c>
    </row>
    <row r="15" spans="2:7" ht="22.5" customHeight="1">
      <c r="B15" s="29" t="s">
        <v>7</v>
      </c>
      <c r="C15" s="83" t="s">
        <v>736</v>
      </c>
      <c r="D15" s="83"/>
      <c r="E15" s="28">
        <v>9</v>
      </c>
      <c r="G15" s="28" t="s">
        <v>110</v>
      </c>
    </row>
    <row r="16" spans="2:7" ht="27" customHeight="1">
      <c r="B16" s="29" t="s">
        <v>8</v>
      </c>
      <c r="C16" s="83" t="s">
        <v>737</v>
      </c>
      <c r="D16" s="83"/>
      <c r="E16" s="28">
        <v>22</v>
      </c>
      <c r="G16" s="28" t="s">
        <v>111</v>
      </c>
    </row>
    <row r="17" spans="2:5" ht="30.75" customHeight="1">
      <c r="B17" s="29"/>
      <c r="C17" s="39" t="s">
        <v>82</v>
      </c>
      <c r="D17" s="31"/>
      <c r="E17" s="34">
        <f>SUM(E13:E16)</f>
        <v>129</v>
      </c>
    </row>
    <row r="18" ht="12.75">
      <c r="A18" s="34" t="s">
        <v>732</v>
      </c>
    </row>
    <row r="19" spans="1:7" ht="40.5" customHeight="1">
      <c r="A19" s="43" t="s">
        <v>704</v>
      </c>
      <c r="B19" s="36"/>
      <c r="C19" s="47" t="s">
        <v>738</v>
      </c>
      <c r="D19" s="47" t="s">
        <v>78</v>
      </c>
      <c r="E19" s="47" t="s">
        <v>10</v>
      </c>
      <c r="F19" s="64" t="s">
        <v>716</v>
      </c>
      <c r="G19" s="47" t="s">
        <v>11</v>
      </c>
    </row>
    <row r="20" spans="1:7" ht="45.75" customHeight="1">
      <c r="A20" s="83" t="s">
        <v>891</v>
      </c>
      <c r="B20" s="83"/>
      <c r="C20" s="29">
        <v>23</v>
      </c>
      <c r="D20" s="29">
        <v>0</v>
      </c>
      <c r="E20" s="29">
        <f>C20-D20</f>
        <v>23</v>
      </c>
      <c r="F20" s="61">
        <v>9.2</v>
      </c>
      <c r="G20" s="70" t="s">
        <v>989</v>
      </c>
    </row>
    <row r="21" spans="1:7" ht="17.25" customHeight="1">
      <c r="A21" s="34" t="s">
        <v>82</v>
      </c>
      <c r="B21" s="34"/>
      <c r="C21" s="30">
        <f>SUM(C20:C20)</f>
        <v>23</v>
      </c>
      <c r="D21" s="30">
        <f>SUM(D20:D20)</f>
        <v>0</v>
      </c>
      <c r="E21" s="30">
        <f>SUM(E20:E20)</f>
        <v>23</v>
      </c>
      <c r="F21" s="30"/>
      <c r="G21" s="29"/>
    </row>
    <row r="22" spans="1:7" ht="32.25" customHeight="1">
      <c r="A22" s="82" t="s">
        <v>1020</v>
      </c>
      <c r="B22" s="82"/>
      <c r="C22" s="82"/>
      <c r="D22" s="82"/>
      <c r="E22" s="82"/>
      <c r="F22" s="82"/>
      <c r="G22" s="82"/>
    </row>
    <row r="23" spans="1:6" ht="27.75" customHeight="1">
      <c r="A23" s="34" t="s">
        <v>948</v>
      </c>
      <c r="B23" s="34"/>
      <c r="C23" s="34"/>
      <c r="F23" s="28" t="s">
        <v>728</v>
      </c>
    </row>
    <row r="24" spans="1:4" ht="19.5" customHeight="1">
      <c r="A24" s="34" t="s">
        <v>947</v>
      </c>
      <c r="B24" s="34"/>
      <c r="C24" s="34"/>
      <c r="D24" s="34"/>
    </row>
    <row r="25" spans="2:3" ht="15" customHeight="1">
      <c r="B25" s="35" t="s">
        <v>12</v>
      </c>
      <c r="C25" s="38" t="s">
        <v>90</v>
      </c>
    </row>
    <row r="26" spans="2:4" ht="19.5" customHeight="1">
      <c r="B26" s="28" t="s">
        <v>901</v>
      </c>
      <c r="C26" s="29">
        <v>1</v>
      </c>
      <c r="D26" s="31"/>
    </row>
    <row r="27" spans="2:4" ht="18" customHeight="1">
      <c r="B27" s="28" t="s">
        <v>957</v>
      </c>
      <c r="C27" s="29">
        <v>4</v>
      </c>
      <c r="D27" s="31"/>
    </row>
    <row r="28" spans="2:3" ht="12.75">
      <c r="B28" s="28" t="s">
        <v>985</v>
      </c>
      <c r="C28" s="29">
        <v>0.5</v>
      </c>
    </row>
    <row r="29" spans="2:3" ht="12.75">
      <c r="B29" s="28" t="s">
        <v>1036</v>
      </c>
      <c r="C29" s="29" t="s">
        <v>728</v>
      </c>
    </row>
  </sheetData>
  <mergeCells count="14">
    <mergeCell ref="F1:G1"/>
    <mergeCell ref="A3:G3"/>
    <mergeCell ref="D4:E4"/>
    <mergeCell ref="A5:F5"/>
    <mergeCell ref="A7:C7"/>
    <mergeCell ref="A8:C8"/>
    <mergeCell ref="A9:C9"/>
    <mergeCell ref="C12:D12"/>
    <mergeCell ref="A22:G22"/>
    <mergeCell ref="A20:B20"/>
    <mergeCell ref="C13:D13"/>
    <mergeCell ref="C14:D14"/>
    <mergeCell ref="C15:D15"/>
    <mergeCell ref="C16:D16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12" sqref="G12"/>
    </sheetView>
  </sheetViews>
  <sheetFormatPr defaultColWidth="9.140625" defaultRowHeight="12.75"/>
  <cols>
    <col min="1" max="1" width="11.421875" style="28" customWidth="1"/>
    <col min="2" max="2" width="9.421875" style="28" customWidth="1"/>
    <col min="3" max="3" width="16.28125" style="28" customWidth="1"/>
    <col min="4" max="4" width="12.8515625" style="28" customWidth="1"/>
    <col min="5" max="5" width="12.0039062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29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36" customHeight="1">
      <c r="A4" s="30"/>
      <c r="B4" s="30"/>
      <c r="C4" s="30"/>
      <c r="D4" s="86" t="s">
        <v>892</v>
      </c>
      <c r="E4" s="86"/>
      <c r="F4" s="30"/>
      <c r="G4" s="30"/>
    </row>
    <row r="5" spans="1:6" ht="21.75" customHeight="1">
      <c r="A5" s="88" t="s">
        <v>718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2682</v>
      </c>
      <c r="E7" s="31">
        <v>1814</v>
      </c>
      <c r="F7" s="31">
        <v>787</v>
      </c>
      <c r="G7" s="31">
        <f>SUM(D7:F7)</f>
        <v>5283</v>
      </c>
    </row>
    <row r="8" spans="1:7" ht="12.75">
      <c r="A8" s="87" t="s">
        <v>92</v>
      </c>
      <c r="B8" s="87"/>
      <c r="C8" s="87"/>
      <c r="D8" s="31">
        <v>723</v>
      </c>
      <c r="E8" s="31">
        <v>0</v>
      </c>
      <c r="F8" s="31">
        <v>0</v>
      </c>
      <c r="G8" s="31">
        <f>SUM(D8:F8)</f>
        <v>723</v>
      </c>
    </row>
    <row r="9" spans="1:7" ht="12.75">
      <c r="A9" s="87" t="s">
        <v>878</v>
      </c>
      <c r="B9" s="87"/>
      <c r="C9" s="87"/>
      <c r="D9" s="40">
        <f>D8/D7*100</f>
        <v>26.957494407158837</v>
      </c>
      <c r="E9" s="40">
        <f>E8/E7*100</f>
        <v>0</v>
      </c>
      <c r="F9" s="40">
        <v>0</v>
      </c>
      <c r="G9" s="40">
        <f>G8/G7*100</f>
        <v>13.685406019307212</v>
      </c>
    </row>
    <row r="10" spans="4:7" ht="14.25" customHeight="1">
      <c r="D10" s="31"/>
      <c r="E10" s="31"/>
      <c r="F10" s="31"/>
      <c r="G10" s="31"/>
    </row>
    <row r="11" ht="21.75" customHeight="1">
      <c r="A11" s="34" t="s">
        <v>893</v>
      </c>
    </row>
    <row r="12" spans="1:7" ht="25.5">
      <c r="A12" s="34"/>
      <c r="B12" s="30" t="s">
        <v>2</v>
      </c>
      <c r="C12" s="86" t="s">
        <v>3</v>
      </c>
      <c r="D12" s="86"/>
      <c r="E12" s="30" t="s">
        <v>4</v>
      </c>
      <c r="G12" s="43" t="s">
        <v>988</v>
      </c>
    </row>
    <row r="13" spans="1:7" ht="19.5" customHeight="1">
      <c r="A13" s="34"/>
      <c r="B13" s="29" t="s">
        <v>140</v>
      </c>
      <c r="C13" s="28" t="s">
        <v>739</v>
      </c>
      <c r="E13" s="29">
        <v>372</v>
      </c>
      <c r="G13" s="28" t="s">
        <v>141</v>
      </c>
    </row>
    <row r="14" spans="1:7" ht="19.5" customHeight="1">
      <c r="A14" s="34"/>
      <c r="B14" s="29" t="s">
        <v>97</v>
      </c>
      <c r="C14" s="28" t="s">
        <v>142</v>
      </c>
      <c r="E14" s="29">
        <v>78</v>
      </c>
      <c r="G14" s="28" t="s">
        <v>143</v>
      </c>
    </row>
    <row r="15" spans="1:7" ht="17.25" customHeight="1">
      <c r="A15" s="34"/>
      <c r="B15" s="29" t="s">
        <v>144</v>
      </c>
      <c r="C15" s="28" t="s">
        <v>145</v>
      </c>
      <c r="E15" s="29">
        <v>173</v>
      </c>
      <c r="G15" s="28" t="s">
        <v>31</v>
      </c>
    </row>
    <row r="16" spans="1:7" ht="18" customHeight="1">
      <c r="A16" s="34"/>
      <c r="B16" s="29" t="s">
        <v>146</v>
      </c>
      <c r="C16" s="28" t="s">
        <v>147</v>
      </c>
      <c r="E16" s="29">
        <v>5</v>
      </c>
      <c r="G16" s="28" t="s">
        <v>110</v>
      </c>
    </row>
    <row r="17" spans="1:7" ht="22.5" customHeight="1">
      <c r="A17" s="34"/>
      <c r="B17" s="29" t="s">
        <v>148</v>
      </c>
      <c r="C17" s="28" t="s">
        <v>149</v>
      </c>
      <c r="E17" s="29">
        <v>23</v>
      </c>
      <c r="G17" s="28" t="s">
        <v>111</v>
      </c>
    </row>
    <row r="18" spans="1:7" ht="21" customHeight="1">
      <c r="A18" s="34"/>
      <c r="B18" s="29" t="s">
        <v>150</v>
      </c>
      <c r="C18" s="28" t="s">
        <v>151</v>
      </c>
      <c r="E18" s="29">
        <v>11</v>
      </c>
      <c r="G18" s="28" t="s">
        <v>17</v>
      </c>
    </row>
    <row r="19" spans="1:7" ht="21" customHeight="1">
      <c r="A19" s="34"/>
      <c r="B19" s="29" t="s">
        <v>162</v>
      </c>
      <c r="C19" s="28" t="s">
        <v>740</v>
      </c>
      <c r="E19" s="29">
        <v>44</v>
      </c>
      <c r="G19" s="28" t="s">
        <v>18</v>
      </c>
    </row>
    <row r="20" spans="1:7" ht="21" customHeight="1">
      <c r="A20" s="34"/>
      <c r="B20" s="29" t="s">
        <v>163</v>
      </c>
      <c r="C20" s="28" t="s">
        <v>959</v>
      </c>
      <c r="E20" s="29">
        <v>13</v>
      </c>
      <c r="G20" s="28" t="s">
        <v>901</v>
      </c>
    </row>
    <row r="21" spans="1:7" ht="21" customHeight="1">
      <c r="A21" s="34"/>
      <c r="B21" s="29" t="s">
        <v>165</v>
      </c>
      <c r="C21" s="28" t="s">
        <v>1021</v>
      </c>
      <c r="E21" s="29">
        <v>4</v>
      </c>
      <c r="G21" s="28" t="s">
        <v>985</v>
      </c>
    </row>
    <row r="22" spans="3:5" ht="30.75" customHeight="1">
      <c r="C22" s="34" t="s">
        <v>23</v>
      </c>
      <c r="D22" s="34"/>
      <c r="E22" s="30">
        <f>SUM(E13:E21)</f>
        <v>723</v>
      </c>
    </row>
    <row r="23" spans="1:6" ht="30" customHeight="1">
      <c r="A23" s="34" t="s">
        <v>894</v>
      </c>
      <c r="F23" s="29" t="s">
        <v>134</v>
      </c>
    </row>
    <row r="24" spans="1:6" ht="33.75" customHeight="1">
      <c r="A24" s="34" t="s">
        <v>741</v>
      </c>
      <c r="B24" s="34"/>
      <c r="C24" s="34"/>
      <c r="D24" s="34"/>
      <c r="E24" s="34"/>
      <c r="F24" s="50" t="s">
        <v>134</v>
      </c>
    </row>
    <row r="25" spans="1:7" ht="15.75" customHeight="1">
      <c r="A25" s="7" t="s">
        <v>951</v>
      </c>
      <c r="B25" s="7"/>
      <c r="C25" s="7"/>
      <c r="D25" s="7"/>
      <c r="E25" s="7"/>
      <c r="F25" s="7"/>
      <c r="G25" s="48"/>
    </row>
    <row r="26" spans="2:3" ht="19.5" customHeight="1">
      <c r="B26" s="35" t="s">
        <v>12</v>
      </c>
      <c r="C26" s="38" t="s">
        <v>90</v>
      </c>
    </row>
    <row r="27" spans="2:4" ht="12.75">
      <c r="B27" s="28" t="s">
        <v>901</v>
      </c>
      <c r="C27" s="29">
        <v>24</v>
      </c>
      <c r="D27" s="31"/>
    </row>
    <row r="28" spans="2:4" ht="12.75">
      <c r="B28" s="28" t="s">
        <v>957</v>
      </c>
      <c r="C28" s="29">
        <v>2</v>
      </c>
      <c r="D28" s="31"/>
    </row>
    <row r="29" spans="2:3" ht="12.75">
      <c r="B29" s="28" t="s">
        <v>985</v>
      </c>
      <c r="C29" s="29" t="s">
        <v>728</v>
      </c>
    </row>
    <row r="30" spans="2:3" ht="12.75">
      <c r="B30" s="28" t="s">
        <v>1019</v>
      </c>
      <c r="C30" s="29" t="s">
        <v>728</v>
      </c>
    </row>
  </sheetData>
  <mergeCells count="8">
    <mergeCell ref="F1:G1"/>
    <mergeCell ref="A3:G3"/>
    <mergeCell ref="D4:E4"/>
    <mergeCell ref="A5:F5"/>
    <mergeCell ref="A7:C7"/>
    <mergeCell ref="A8:C8"/>
    <mergeCell ref="A9:C9"/>
    <mergeCell ref="C12:D12"/>
  </mergeCells>
  <printOptions/>
  <pageMargins left="0.75" right="0.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G12" sqref="G12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22.5" customHeight="1">
      <c r="A4" s="30"/>
      <c r="B4" s="30"/>
      <c r="C4" s="30"/>
      <c r="D4" s="86" t="s">
        <v>743</v>
      </c>
      <c r="E4" s="86"/>
      <c r="F4" s="30"/>
      <c r="G4" s="30"/>
    </row>
    <row r="5" spans="1:6" ht="21.75" customHeight="1">
      <c r="A5" s="88" t="s">
        <v>742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1302</v>
      </c>
      <c r="E7" s="31">
        <v>318</v>
      </c>
      <c r="F7" s="31">
        <v>3</v>
      </c>
      <c r="G7" s="31">
        <f>SUM(D7:F7)</f>
        <v>1623</v>
      </c>
    </row>
    <row r="8" spans="1:7" ht="12.75">
      <c r="A8" s="87" t="s">
        <v>92</v>
      </c>
      <c r="B8" s="87"/>
      <c r="C8" s="87"/>
      <c r="D8" s="31">
        <v>366</v>
      </c>
      <c r="E8" s="31">
        <v>0</v>
      </c>
      <c r="F8" s="31">
        <v>0</v>
      </c>
      <c r="G8" s="31">
        <f>SUM(D8:F8)</f>
        <v>366</v>
      </c>
    </row>
    <row r="9" spans="1:7" ht="12.75">
      <c r="A9" s="87" t="s">
        <v>878</v>
      </c>
      <c r="B9" s="87"/>
      <c r="C9" s="87"/>
      <c r="D9" s="40">
        <f>D8/D7*100</f>
        <v>28.110599078341014</v>
      </c>
      <c r="E9" s="40">
        <f>E8/E7*100</f>
        <v>0</v>
      </c>
      <c r="F9" s="40">
        <v>0</v>
      </c>
      <c r="G9" s="40">
        <f>G8/G7*100</f>
        <v>22.55083179297597</v>
      </c>
    </row>
    <row r="10" spans="4:7" ht="14.25" customHeight="1">
      <c r="D10" s="31"/>
      <c r="E10" s="31"/>
      <c r="F10" s="31"/>
      <c r="G10" s="31"/>
    </row>
    <row r="11" ht="18.75" customHeight="1">
      <c r="A11" s="34" t="s">
        <v>744</v>
      </c>
    </row>
    <row r="12" spans="1:7" ht="25.5">
      <c r="A12" s="34"/>
      <c r="B12" s="30" t="s">
        <v>2</v>
      </c>
      <c r="C12" s="86" t="s">
        <v>3</v>
      </c>
      <c r="D12" s="86"/>
      <c r="E12" s="30" t="s">
        <v>4</v>
      </c>
      <c r="G12" s="47" t="s">
        <v>988</v>
      </c>
    </row>
    <row r="13" spans="1:7" ht="19.5" customHeight="1">
      <c r="A13" s="34"/>
      <c r="B13" t="s">
        <v>140</v>
      </c>
      <c r="C13" t="s">
        <v>156</v>
      </c>
      <c r="D13"/>
      <c r="E13" s="60">
        <v>70</v>
      </c>
      <c r="F13"/>
      <c r="G13"/>
    </row>
    <row r="14" spans="1:7" ht="19.5" customHeight="1">
      <c r="A14" s="34"/>
      <c r="B14" t="s">
        <v>97</v>
      </c>
      <c r="C14" t="s">
        <v>157</v>
      </c>
      <c r="D14"/>
      <c r="E14" s="60">
        <v>12</v>
      </c>
      <c r="G14" s="60" t="s">
        <v>111</v>
      </c>
    </row>
    <row r="15" spans="1:7" ht="19.5" customHeight="1">
      <c r="A15" s="34"/>
      <c r="B15" t="s">
        <v>144</v>
      </c>
      <c r="C15" t="s">
        <v>158</v>
      </c>
      <c r="D15"/>
      <c r="E15" s="60">
        <v>82</v>
      </c>
      <c r="G15" s="60" t="s">
        <v>45</v>
      </c>
    </row>
    <row r="16" spans="1:7" ht="19.5" customHeight="1">
      <c r="A16" s="34"/>
      <c r="B16" t="s">
        <v>146</v>
      </c>
      <c r="C16" t="s">
        <v>159</v>
      </c>
      <c r="D16"/>
      <c r="E16" s="60">
        <v>84</v>
      </c>
      <c r="G16" s="60" t="s">
        <v>50</v>
      </c>
    </row>
    <row r="17" spans="1:7" ht="19.5" customHeight="1">
      <c r="A17" s="34"/>
      <c r="B17" t="s">
        <v>148</v>
      </c>
      <c r="C17" t="s">
        <v>160</v>
      </c>
      <c r="D17"/>
      <c r="E17" s="60">
        <v>9</v>
      </c>
      <c r="G17" s="60" t="s">
        <v>50</v>
      </c>
    </row>
    <row r="18" spans="1:7" ht="12.75">
      <c r="A18" s="34"/>
      <c r="B18"/>
      <c r="C18" t="s">
        <v>161</v>
      </c>
      <c r="D18"/>
      <c r="E18" s="60"/>
      <c r="G18" s="60"/>
    </row>
    <row r="19" spans="1:7" ht="12.75">
      <c r="A19" s="34"/>
      <c r="B19" t="s">
        <v>150</v>
      </c>
      <c r="C19" t="s">
        <v>745</v>
      </c>
      <c r="D19"/>
      <c r="E19" s="60">
        <v>43</v>
      </c>
      <c r="G19" s="60" t="s">
        <v>61</v>
      </c>
    </row>
    <row r="20" spans="1:7" ht="19.5" customHeight="1">
      <c r="A20" s="34"/>
      <c r="B20" t="s">
        <v>162</v>
      </c>
      <c r="C20" t="s">
        <v>746</v>
      </c>
      <c r="D20"/>
      <c r="E20" s="60">
        <v>25</v>
      </c>
      <c r="G20" s="60" t="s">
        <v>65</v>
      </c>
    </row>
    <row r="21" spans="1:7" ht="18" customHeight="1">
      <c r="A21" s="34"/>
      <c r="B21" t="s">
        <v>163</v>
      </c>
      <c r="C21" t="s">
        <v>164</v>
      </c>
      <c r="D21"/>
      <c r="E21" s="60">
        <v>16</v>
      </c>
      <c r="G21" s="60" t="s">
        <v>69</v>
      </c>
    </row>
    <row r="22" spans="1:7" ht="21" customHeight="1">
      <c r="A22" s="34"/>
      <c r="B22" t="s">
        <v>165</v>
      </c>
      <c r="C22" t="s">
        <v>166</v>
      </c>
      <c r="D22"/>
      <c r="E22" s="60">
        <v>25</v>
      </c>
      <c r="G22" s="60" t="s">
        <v>17</v>
      </c>
    </row>
    <row r="23" spans="1:7" ht="15.75" customHeight="1">
      <c r="A23" s="34"/>
      <c r="B23" s="30"/>
      <c r="C23" s="30" t="s">
        <v>82</v>
      </c>
      <c r="D23" s="30"/>
      <c r="E23" s="30">
        <f>SUM(E13:E22)</f>
        <v>366</v>
      </c>
      <c r="G23" s="43"/>
    </row>
    <row r="24" spans="1:5" ht="18.75" customHeight="1">
      <c r="A24" s="34" t="s">
        <v>747</v>
      </c>
      <c r="B24" s="29"/>
      <c r="E24" s="31"/>
    </row>
    <row r="25" spans="1:7" ht="39.75" customHeight="1">
      <c r="A25" s="43" t="s">
        <v>704</v>
      </c>
      <c r="B25" s="36"/>
      <c r="C25" s="43" t="s">
        <v>749</v>
      </c>
      <c r="D25" s="47" t="s">
        <v>78</v>
      </c>
      <c r="E25" s="47" t="s">
        <v>10</v>
      </c>
      <c r="F25" s="64" t="s">
        <v>716</v>
      </c>
      <c r="G25" s="47" t="s">
        <v>11</v>
      </c>
    </row>
    <row r="26" spans="1:7" ht="57.75" customHeight="1">
      <c r="A26" s="83" t="s">
        <v>748</v>
      </c>
      <c r="B26" s="83"/>
      <c r="C26" s="29">
        <v>7</v>
      </c>
      <c r="D26" s="29">
        <v>0</v>
      </c>
      <c r="E26" s="29">
        <f>C26-D26</f>
        <v>7</v>
      </c>
      <c r="F26" s="61">
        <v>2.8</v>
      </c>
      <c r="G26" s="70" t="s">
        <v>1005</v>
      </c>
    </row>
    <row r="27" spans="1:7" ht="27.75" customHeight="1">
      <c r="A27" s="82" t="s">
        <v>1022</v>
      </c>
      <c r="B27" s="82"/>
      <c r="C27" s="82"/>
      <c r="D27" s="82"/>
      <c r="E27" s="82"/>
      <c r="F27" s="82"/>
      <c r="G27" s="82"/>
    </row>
    <row r="28" spans="1:6" ht="25.5" customHeight="1">
      <c r="A28" s="34" t="s">
        <v>741</v>
      </c>
      <c r="B28" s="29"/>
      <c r="E28" s="31"/>
      <c r="F28" s="28" t="s">
        <v>134</v>
      </c>
    </row>
    <row r="29" spans="1:7" s="34" customFormat="1" ht="26.25" customHeight="1">
      <c r="A29" s="7" t="s">
        <v>952</v>
      </c>
      <c r="B29" s="29"/>
      <c r="C29" s="28"/>
      <c r="D29" s="28"/>
      <c r="E29" s="31"/>
      <c r="F29" s="28"/>
      <c r="G29" s="28"/>
    </row>
    <row r="30" spans="2:3" ht="12.75">
      <c r="B30" s="35" t="s">
        <v>12</v>
      </c>
      <c r="C30" s="38" t="s">
        <v>90</v>
      </c>
    </row>
    <row r="31" spans="2:4" ht="12.75">
      <c r="B31" s="28" t="s">
        <v>901</v>
      </c>
      <c r="C31" s="29">
        <v>15</v>
      </c>
      <c r="D31" s="31"/>
    </row>
    <row r="32" spans="2:4" ht="12.75">
      <c r="B32" s="28" t="s">
        <v>957</v>
      </c>
      <c r="C32" s="29">
        <v>2</v>
      </c>
      <c r="D32" s="31"/>
    </row>
    <row r="33" spans="2:3" ht="12.75">
      <c r="B33" s="28" t="s">
        <v>985</v>
      </c>
      <c r="C33" s="29" t="s">
        <v>728</v>
      </c>
    </row>
    <row r="34" spans="2:3" ht="12.75">
      <c r="B34" s="28" t="s">
        <v>1019</v>
      </c>
      <c r="C34" s="29" t="s">
        <v>728</v>
      </c>
    </row>
  </sheetData>
  <mergeCells count="10">
    <mergeCell ref="A27:G27"/>
    <mergeCell ref="F1:G1"/>
    <mergeCell ref="A3:G3"/>
    <mergeCell ref="D4:E4"/>
    <mergeCell ref="A5:F5"/>
    <mergeCell ref="A26:B26"/>
    <mergeCell ref="A7:C7"/>
    <mergeCell ref="A8:C8"/>
    <mergeCell ref="A9:C9"/>
    <mergeCell ref="C12:D1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2">
      <selection activeCell="G12" sqref="G12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36" customHeight="1">
      <c r="A4" s="30"/>
      <c r="B4" s="30"/>
      <c r="C4" s="30"/>
      <c r="D4" s="90" t="s">
        <v>750</v>
      </c>
      <c r="E4" s="90"/>
      <c r="F4" s="30"/>
      <c r="G4" s="30"/>
    </row>
    <row r="5" spans="1:6" ht="21.75" customHeight="1">
      <c r="A5" s="88" t="s">
        <v>718</v>
      </c>
      <c r="B5" s="88"/>
      <c r="C5" s="88"/>
      <c r="D5" s="88"/>
      <c r="E5" s="88"/>
      <c r="F5" s="88"/>
    </row>
    <row r="6" spans="1:7" ht="19.5" customHeight="1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9.5" customHeight="1">
      <c r="A7" s="87" t="s">
        <v>707</v>
      </c>
      <c r="B7" s="87"/>
      <c r="C7" s="87"/>
      <c r="D7" s="31">
        <v>23</v>
      </c>
      <c r="E7" s="31">
        <v>0</v>
      </c>
      <c r="F7" s="31">
        <v>246</v>
      </c>
      <c r="G7" s="31">
        <f>SUM(D7:F7)</f>
        <v>269</v>
      </c>
    </row>
    <row r="8" spans="1:7" ht="19.5" customHeight="1">
      <c r="A8" s="87" t="s">
        <v>92</v>
      </c>
      <c r="B8" s="87"/>
      <c r="C8" s="87"/>
      <c r="D8" s="31">
        <v>23</v>
      </c>
      <c r="E8" s="31">
        <v>0</v>
      </c>
      <c r="F8" s="31">
        <v>0</v>
      </c>
      <c r="G8" s="31">
        <f>SUM(D8:F8)</f>
        <v>23</v>
      </c>
    </row>
    <row r="9" spans="1:7" ht="19.5" customHeight="1">
      <c r="A9" s="87" t="s">
        <v>878</v>
      </c>
      <c r="B9" s="87"/>
      <c r="C9" s="87"/>
      <c r="D9" s="40">
        <f>D8/D7*100</f>
        <v>100</v>
      </c>
      <c r="E9" s="40">
        <v>0</v>
      </c>
      <c r="F9" s="40">
        <v>0</v>
      </c>
      <c r="G9" s="40">
        <f>G8/G7*100</f>
        <v>8.550185873605948</v>
      </c>
    </row>
    <row r="10" spans="4:7" ht="19.5" customHeight="1">
      <c r="D10" s="31"/>
      <c r="E10" s="31"/>
      <c r="F10" s="31"/>
      <c r="G10" s="31"/>
    </row>
    <row r="11" ht="21.75" customHeight="1">
      <c r="A11" s="34" t="s">
        <v>751</v>
      </c>
    </row>
    <row r="12" spans="1:7" ht="25.5">
      <c r="A12" s="34"/>
      <c r="B12" s="39" t="s">
        <v>2</v>
      </c>
      <c r="C12" s="88" t="s">
        <v>3</v>
      </c>
      <c r="D12" s="88"/>
      <c r="E12" s="30" t="s">
        <v>4</v>
      </c>
      <c r="F12" s="29"/>
      <c r="G12" s="47" t="s">
        <v>988</v>
      </c>
    </row>
    <row r="13" spans="1:7" ht="22.5" customHeight="1">
      <c r="A13" s="34"/>
      <c r="B13" s="28" t="s">
        <v>140</v>
      </c>
      <c r="C13" s="28" t="s">
        <v>753</v>
      </c>
      <c r="E13" s="29">
        <v>23</v>
      </c>
      <c r="F13" s="29"/>
      <c r="G13" s="29" t="s">
        <v>18</v>
      </c>
    </row>
    <row r="14" spans="1:7" ht="36" customHeight="1">
      <c r="A14" s="34"/>
      <c r="B14" s="30"/>
      <c r="C14" s="39" t="s">
        <v>82</v>
      </c>
      <c r="D14" s="30"/>
      <c r="E14" s="30">
        <f>SUM(E13:E13)</f>
        <v>23</v>
      </c>
      <c r="F14" s="29"/>
      <c r="G14" s="47"/>
    </row>
    <row r="15" spans="1:7" ht="18.75" customHeight="1">
      <c r="A15" s="34" t="s">
        <v>752</v>
      </c>
      <c r="B15" s="29"/>
      <c r="E15" s="29"/>
      <c r="F15" s="29"/>
      <c r="G15" s="29" t="s">
        <v>134</v>
      </c>
    </row>
    <row r="16" spans="1:7" ht="19.5" customHeight="1">
      <c r="A16" s="43"/>
      <c r="B16" s="36"/>
      <c r="C16" s="43"/>
      <c r="D16" s="45"/>
      <c r="E16" s="91"/>
      <c r="F16" s="91"/>
      <c r="G16" s="91"/>
    </row>
    <row r="17" spans="1:7" ht="15" customHeight="1">
      <c r="A17" s="83"/>
      <c r="B17" s="83"/>
      <c r="E17" s="29"/>
      <c r="F17" s="29"/>
      <c r="G17" s="37"/>
    </row>
    <row r="18" spans="1:5" ht="33.75" customHeight="1">
      <c r="A18" s="34" t="s">
        <v>921</v>
      </c>
      <c r="B18" s="29"/>
      <c r="E18" s="29" t="s">
        <v>134</v>
      </c>
    </row>
    <row r="19" spans="1:7" s="34" customFormat="1" ht="15.75" customHeight="1">
      <c r="A19" s="34" t="s">
        <v>953</v>
      </c>
      <c r="B19" s="29"/>
      <c r="C19" s="28"/>
      <c r="D19" s="28"/>
      <c r="E19" s="31"/>
      <c r="F19" s="28"/>
      <c r="G19" s="28"/>
    </row>
    <row r="20" spans="2:3" ht="19.5" customHeight="1">
      <c r="B20" s="35" t="s">
        <v>12</v>
      </c>
      <c r="C20" s="63" t="s">
        <v>90</v>
      </c>
    </row>
    <row r="21" spans="2:4" ht="19.5" customHeight="1">
      <c r="B21" s="28" t="s">
        <v>901</v>
      </c>
      <c r="C21" s="29" t="s">
        <v>728</v>
      </c>
      <c r="D21" s="31"/>
    </row>
    <row r="22" spans="2:4" ht="19.5" customHeight="1">
      <c r="B22" s="28" t="s">
        <v>957</v>
      </c>
      <c r="C22" s="29" t="s">
        <v>728</v>
      </c>
      <c r="D22" s="31"/>
    </row>
    <row r="23" spans="2:3" ht="12.75">
      <c r="B23" s="28" t="s">
        <v>985</v>
      </c>
      <c r="C23" s="29" t="s">
        <v>728</v>
      </c>
    </row>
    <row r="24" ht="6.75" customHeight="1"/>
    <row r="25" spans="2:3" ht="12.75">
      <c r="B25" s="28" t="s">
        <v>1019</v>
      </c>
      <c r="C25" s="29" t="s">
        <v>728</v>
      </c>
    </row>
  </sheetData>
  <mergeCells count="10">
    <mergeCell ref="F1:G1"/>
    <mergeCell ref="A3:G3"/>
    <mergeCell ref="D4:E4"/>
    <mergeCell ref="A5:F5"/>
    <mergeCell ref="A17:B17"/>
    <mergeCell ref="E16:G16"/>
    <mergeCell ref="A7:C7"/>
    <mergeCell ref="A8:C8"/>
    <mergeCell ref="A9:C9"/>
    <mergeCell ref="C12:D12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G12" sqref="G12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6.281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">
        <v>1018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21" customHeight="1">
      <c r="A4" s="30"/>
      <c r="B4" s="30"/>
      <c r="C4" s="30"/>
      <c r="D4" s="86" t="s">
        <v>902</v>
      </c>
      <c r="E4" s="86"/>
      <c r="F4" s="30"/>
      <c r="G4" s="30"/>
    </row>
    <row r="5" spans="1:6" ht="12.75">
      <c r="A5" s="88" t="s">
        <v>718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1874</v>
      </c>
      <c r="E7" s="31">
        <v>0</v>
      </c>
      <c r="F7" s="31">
        <v>69</v>
      </c>
      <c r="G7" s="31">
        <f>SUM(D7:F7)</f>
        <v>1943</v>
      </c>
    </row>
    <row r="8" spans="1:7" ht="12.75">
      <c r="A8" s="87" t="s">
        <v>92</v>
      </c>
      <c r="B8" s="87"/>
      <c r="C8" s="87"/>
      <c r="D8" s="31">
        <v>1585</v>
      </c>
      <c r="E8" s="31">
        <v>0</v>
      </c>
      <c r="F8" s="31">
        <v>0</v>
      </c>
      <c r="G8" s="31">
        <f>SUM(D8:F8)</f>
        <v>1585</v>
      </c>
    </row>
    <row r="9" spans="1:7" ht="12.75">
      <c r="A9" s="87" t="s">
        <v>878</v>
      </c>
      <c r="B9" s="87"/>
      <c r="C9" s="87"/>
      <c r="D9" s="40">
        <f>D8/D7*100</f>
        <v>84.57844183564568</v>
      </c>
      <c r="E9" s="40">
        <v>0</v>
      </c>
      <c r="F9" s="40">
        <v>0</v>
      </c>
      <c r="G9" s="40">
        <f>G8/G7*100</f>
        <v>81.5748841996912</v>
      </c>
    </row>
    <row r="10" spans="4:7" ht="12.75">
      <c r="D10" s="31"/>
      <c r="E10" s="31"/>
      <c r="F10" s="31"/>
      <c r="G10" s="31"/>
    </row>
    <row r="11" ht="21.75" customHeight="1">
      <c r="A11" s="34" t="s">
        <v>903</v>
      </c>
    </row>
    <row r="12" spans="1:7" ht="25.5">
      <c r="A12" s="34"/>
      <c r="B12" s="30" t="s">
        <v>2</v>
      </c>
      <c r="C12" s="86" t="s">
        <v>3</v>
      </c>
      <c r="D12" s="86"/>
      <c r="E12" s="44" t="s">
        <v>4</v>
      </c>
      <c r="G12" s="43" t="s">
        <v>988</v>
      </c>
    </row>
    <row r="13" spans="1:7" ht="12.75">
      <c r="A13" s="34"/>
      <c r="B13" s="30"/>
      <c r="C13" s="30"/>
      <c r="D13" s="30"/>
      <c r="E13" s="44"/>
      <c r="G13" s="43"/>
    </row>
    <row r="14" spans="2:7" ht="17.25" customHeight="1">
      <c r="B14" s="29" t="s">
        <v>5</v>
      </c>
      <c r="C14" s="83" t="s">
        <v>904</v>
      </c>
      <c r="D14" s="83"/>
      <c r="E14" s="28">
        <v>214</v>
      </c>
      <c r="G14" s="28" t="s">
        <v>96</v>
      </c>
    </row>
    <row r="15" spans="2:7" ht="18" customHeight="1">
      <c r="B15" s="29" t="s">
        <v>6</v>
      </c>
      <c r="C15" s="83" t="s">
        <v>915</v>
      </c>
      <c r="D15" s="83"/>
      <c r="E15" s="28">
        <v>75</v>
      </c>
      <c r="G15" s="28" t="s">
        <v>98</v>
      </c>
    </row>
    <row r="16" spans="2:7" ht="28.5" customHeight="1">
      <c r="B16" s="29" t="s">
        <v>7</v>
      </c>
      <c r="C16" s="83" t="s">
        <v>724</v>
      </c>
      <c r="D16" s="83"/>
      <c r="E16" s="28">
        <v>117</v>
      </c>
      <c r="G16" s="28" t="s">
        <v>99</v>
      </c>
    </row>
    <row r="17" spans="2:7" ht="27" customHeight="1">
      <c r="B17" s="29" t="s">
        <v>8</v>
      </c>
      <c r="C17" s="83" t="s">
        <v>905</v>
      </c>
      <c r="D17" s="83"/>
      <c r="E17" s="28">
        <v>145</v>
      </c>
      <c r="G17" s="28" t="s">
        <v>100</v>
      </c>
    </row>
    <row r="18" spans="2:7" ht="26.25" customHeight="1">
      <c r="B18" s="29" t="s">
        <v>32</v>
      </c>
      <c r="C18" s="83" t="s">
        <v>725</v>
      </c>
      <c r="D18" s="83"/>
      <c r="E18" s="28">
        <v>60</v>
      </c>
      <c r="G18" s="28" t="s">
        <v>101</v>
      </c>
    </row>
    <row r="19" spans="2:7" ht="14.25" customHeight="1">
      <c r="B19" s="29" t="s">
        <v>35</v>
      </c>
      <c r="C19" s="83" t="s">
        <v>102</v>
      </c>
      <c r="D19" s="83"/>
      <c r="E19" s="28">
        <v>9</v>
      </c>
      <c r="G19" s="28" t="s">
        <v>103</v>
      </c>
    </row>
    <row r="20" spans="2:7" ht="18" customHeight="1">
      <c r="B20" s="29" t="s">
        <v>38</v>
      </c>
      <c r="C20" s="83" t="s">
        <v>104</v>
      </c>
      <c r="D20" s="83"/>
      <c r="E20" s="28">
        <v>42</v>
      </c>
      <c r="G20" s="28" t="s">
        <v>105</v>
      </c>
    </row>
    <row r="21" spans="2:7" ht="13.5" customHeight="1">
      <c r="B21" s="29" t="s">
        <v>43</v>
      </c>
      <c r="C21" s="83" t="s">
        <v>106</v>
      </c>
      <c r="D21" s="83"/>
      <c r="E21" s="28">
        <v>67</v>
      </c>
      <c r="G21" s="28" t="s">
        <v>107</v>
      </c>
    </row>
    <row r="22" spans="2:7" ht="18" customHeight="1">
      <c r="B22" s="29" t="s">
        <v>44</v>
      </c>
      <c r="C22" s="4" t="s">
        <v>108</v>
      </c>
      <c r="E22" s="28">
        <v>33</v>
      </c>
      <c r="G22" s="28" t="s">
        <v>109</v>
      </c>
    </row>
    <row r="23" spans="2:7" ht="14.25" customHeight="1">
      <c r="B23" s="29" t="s">
        <v>46</v>
      </c>
      <c r="C23" s="83" t="s">
        <v>906</v>
      </c>
      <c r="D23" s="83"/>
      <c r="E23" s="28">
        <v>25</v>
      </c>
      <c r="G23" s="28" t="s">
        <v>110</v>
      </c>
    </row>
    <row r="24" spans="2:7" ht="15.75" customHeight="1">
      <c r="B24" s="29" t="s">
        <v>48</v>
      </c>
      <c r="C24" s="83" t="s">
        <v>907</v>
      </c>
      <c r="D24" s="83"/>
      <c r="E24" s="28">
        <v>53</v>
      </c>
      <c r="G24" s="28" t="s">
        <v>111</v>
      </c>
    </row>
    <row r="25" spans="2:7" ht="28.5" customHeight="1">
      <c r="B25" s="29" t="s">
        <v>51</v>
      </c>
      <c r="C25" s="82" t="s">
        <v>726</v>
      </c>
      <c r="D25" s="82"/>
      <c r="E25" s="28">
        <v>114</v>
      </c>
      <c r="G25" s="28" t="s">
        <v>45</v>
      </c>
    </row>
    <row r="26" spans="2:7" ht="18" customHeight="1">
      <c r="B26" s="29" t="s">
        <v>52</v>
      </c>
      <c r="C26" s="83" t="s">
        <v>112</v>
      </c>
      <c r="D26" s="83"/>
      <c r="E26" s="28">
        <v>16</v>
      </c>
      <c r="G26" s="28" t="s">
        <v>50</v>
      </c>
    </row>
    <row r="27" spans="2:7" ht="18" customHeight="1">
      <c r="B27" s="29" t="s">
        <v>54</v>
      </c>
      <c r="C27" s="4" t="s">
        <v>113</v>
      </c>
      <c r="D27" s="31"/>
      <c r="E27" s="28">
        <v>14</v>
      </c>
      <c r="G27" s="28" t="s">
        <v>50</v>
      </c>
    </row>
    <row r="28" spans="2:7" ht="18" customHeight="1">
      <c r="B28" s="29" t="s">
        <v>56</v>
      </c>
      <c r="C28" s="83" t="s">
        <v>114</v>
      </c>
      <c r="D28" s="83"/>
      <c r="E28" s="28">
        <v>4</v>
      </c>
      <c r="G28" s="28" t="s">
        <v>50</v>
      </c>
    </row>
    <row r="29" spans="2:7" ht="17.25" customHeight="1">
      <c r="B29" s="1" t="s">
        <v>57</v>
      </c>
      <c r="C29" s="83" t="s">
        <v>115</v>
      </c>
      <c r="D29" s="83"/>
      <c r="E29" s="28">
        <v>119</v>
      </c>
      <c r="G29" s="28" t="s">
        <v>61</v>
      </c>
    </row>
    <row r="30" spans="2:7" ht="18" customHeight="1">
      <c r="B30" s="29" t="s">
        <v>59</v>
      </c>
      <c r="C30" s="83" t="s">
        <v>116</v>
      </c>
      <c r="D30" s="83"/>
      <c r="E30" s="28">
        <v>33</v>
      </c>
      <c r="G30" s="28" t="s">
        <v>61</v>
      </c>
    </row>
    <row r="31" spans="2:7" ht="18" customHeight="1">
      <c r="B31" s="29" t="s">
        <v>63</v>
      </c>
      <c r="C31" s="83" t="s">
        <v>117</v>
      </c>
      <c r="D31" s="83"/>
      <c r="E31" s="28">
        <v>8</v>
      </c>
      <c r="G31" s="28" t="s">
        <v>61</v>
      </c>
    </row>
    <row r="32" spans="2:7" ht="26.25" customHeight="1">
      <c r="B32" s="29" t="s">
        <v>64</v>
      </c>
      <c r="C32" s="83" t="s">
        <v>727</v>
      </c>
      <c r="D32" s="83"/>
      <c r="E32" s="28">
        <v>77</v>
      </c>
      <c r="G32" s="28" t="s">
        <v>61</v>
      </c>
    </row>
    <row r="33" spans="2:7" ht="16.5" customHeight="1">
      <c r="B33" s="29" t="s">
        <v>66</v>
      </c>
      <c r="C33" s="28" t="s">
        <v>118</v>
      </c>
      <c r="E33" s="28">
        <v>4</v>
      </c>
      <c r="G33" s="28" t="s">
        <v>61</v>
      </c>
    </row>
    <row r="34" spans="2:7" ht="16.5" customHeight="1">
      <c r="B34" s="29" t="s">
        <v>67</v>
      </c>
      <c r="C34" s="28" t="s">
        <v>119</v>
      </c>
      <c r="E34" s="28">
        <v>29</v>
      </c>
      <c r="G34" s="28" t="s">
        <v>65</v>
      </c>
    </row>
    <row r="35" spans="2:7" ht="16.5" customHeight="1">
      <c r="B35" s="29" t="s">
        <v>70</v>
      </c>
      <c r="C35" s="28" t="s">
        <v>120</v>
      </c>
      <c r="E35" s="28">
        <v>4</v>
      </c>
      <c r="G35" s="28" t="s">
        <v>65</v>
      </c>
    </row>
    <row r="36" spans="2:7" ht="16.5" customHeight="1">
      <c r="B36" s="29" t="s">
        <v>72</v>
      </c>
      <c r="C36" s="28" t="s">
        <v>908</v>
      </c>
      <c r="E36" s="28">
        <v>7</v>
      </c>
      <c r="G36" s="28" t="s">
        <v>65</v>
      </c>
    </row>
    <row r="37" spans="2:7" ht="16.5" customHeight="1">
      <c r="B37" s="29" t="s">
        <v>73</v>
      </c>
      <c r="C37" s="28" t="s">
        <v>121</v>
      </c>
      <c r="D37" s="28" t="s">
        <v>122</v>
      </c>
      <c r="E37" s="28">
        <v>65</v>
      </c>
      <c r="G37" s="28" t="s">
        <v>65</v>
      </c>
    </row>
    <row r="38" spans="2:7" ht="16.5" customHeight="1">
      <c r="B38" s="29" t="s">
        <v>75</v>
      </c>
      <c r="C38" s="28" t="s">
        <v>126</v>
      </c>
      <c r="E38" s="28">
        <v>9</v>
      </c>
      <c r="G38" s="28" t="s">
        <v>69</v>
      </c>
    </row>
    <row r="39" spans="2:7" ht="16.5" customHeight="1">
      <c r="B39" s="29" t="s">
        <v>123</v>
      </c>
      <c r="C39" s="28" t="s">
        <v>127</v>
      </c>
      <c r="E39" s="28">
        <v>14</v>
      </c>
      <c r="G39" s="28" t="s">
        <v>69</v>
      </c>
    </row>
    <row r="40" spans="2:7" ht="16.5" customHeight="1">
      <c r="B40" s="29" t="s">
        <v>909</v>
      </c>
      <c r="C40" s="28" t="s">
        <v>128</v>
      </c>
      <c r="E40" s="28">
        <v>14</v>
      </c>
      <c r="G40" s="28" t="s">
        <v>69</v>
      </c>
    </row>
    <row r="41" spans="2:7" ht="17.25" customHeight="1">
      <c r="B41" s="29" t="s">
        <v>910</v>
      </c>
      <c r="C41" s="28" t="s">
        <v>129</v>
      </c>
      <c r="E41" s="28">
        <v>6</v>
      </c>
      <c r="G41" s="28" t="s">
        <v>69</v>
      </c>
    </row>
    <row r="42" spans="1:7" ht="13.5" customHeight="1">
      <c r="A42" s="1"/>
      <c r="B42" s="29" t="s">
        <v>911</v>
      </c>
      <c r="C42" s="4" t="s">
        <v>723</v>
      </c>
      <c r="D42" s="31"/>
      <c r="E42" s="28">
        <v>39</v>
      </c>
      <c r="G42" s="28" t="s">
        <v>18</v>
      </c>
    </row>
    <row r="43" spans="1:7" ht="13.5" customHeight="1">
      <c r="A43" s="1"/>
      <c r="B43" s="29" t="s">
        <v>912</v>
      </c>
      <c r="C43" s="83" t="s">
        <v>913</v>
      </c>
      <c r="D43" s="83"/>
      <c r="E43" s="28">
        <v>146</v>
      </c>
      <c r="G43" s="28" t="s">
        <v>19</v>
      </c>
    </row>
    <row r="44" spans="1:7" ht="13.5" customHeight="1">
      <c r="A44" s="1"/>
      <c r="B44" s="29" t="s">
        <v>960</v>
      </c>
      <c r="C44" s="83" t="s">
        <v>961</v>
      </c>
      <c r="D44" s="83"/>
      <c r="E44" s="28">
        <v>23</v>
      </c>
      <c r="G44" s="28" t="s">
        <v>901</v>
      </c>
    </row>
    <row r="45" spans="2:5" ht="20.25" customHeight="1">
      <c r="B45" s="29"/>
      <c r="C45" s="39" t="s">
        <v>82</v>
      </c>
      <c r="D45" s="31"/>
      <c r="E45" s="34">
        <f>SUM(E14:E44)</f>
        <v>1585</v>
      </c>
    </row>
    <row r="46" spans="1:7" ht="12.75">
      <c r="A46" s="34" t="s">
        <v>914</v>
      </c>
      <c r="G46" s="28" t="s">
        <v>134</v>
      </c>
    </row>
    <row r="47" spans="1:7" ht="21" customHeight="1">
      <c r="A47" s="82" t="s">
        <v>438</v>
      </c>
      <c r="B47" s="82"/>
      <c r="C47" s="82"/>
      <c r="D47" s="82"/>
      <c r="E47" s="82"/>
      <c r="F47" s="82"/>
      <c r="G47" s="82"/>
    </row>
    <row r="48" spans="1:6" ht="27.75" customHeight="1">
      <c r="A48" s="34" t="s">
        <v>948</v>
      </c>
      <c r="B48" s="34"/>
      <c r="C48" s="34"/>
      <c r="F48" s="28" t="s">
        <v>728</v>
      </c>
    </row>
    <row r="49" spans="1:4" ht="16.5" customHeight="1">
      <c r="A49" s="34" t="s">
        <v>954</v>
      </c>
      <c r="B49" s="34"/>
      <c r="C49" s="34"/>
      <c r="D49" s="34"/>
    </row>
    <row r="50" spans="2:3" ht="15" customHeight="1">
      <c r="B50" s="35" t="s">
        <v>12</v>
      </c>
      <c r="C50" s="38" t="s">
        <v>90</v>
      </c>
    </row>
    <row r="51" spans="2:3" ht="19.5" customHeight="1">
      <c r="B51" s="28" t="s">
        <v>901</v>
      </c>
      <c r="C51" s="29">
        <v>17.6</v>
      </c>
    </row>
    <row r="52" spans="2:4" ht="21" customHeight="1">
      <c r="B52" s="28" t="s">
        <v>957</v>
      </c>
      <c r="C52" s="29">
        <v>8</v>
      </c>
      <c r="D52" s="31"/>
    </row>
    <row r="53" spans="2:3" ht="12.75">
      <c r="B53" s="28" t="s">
        <v>985</v>
      </c>
      <c r="C53" s="29">
        <v>4</v>
      </c>
    </row>
    <row r="54" ht="5.25" customHeight="1"/>
    <row r="55" spans="2:3" ht="12.75">
      <c r="B55" s="28" t="s">
        <v>1019</v>
      </c>
      <c r="C55" s="29">
        <v>10</v>
      </c>
    </row>
  </sheetData>
  <mergeCells count="28">
    <mergeCell ref="A47:G47"/>
    <mergeCell ref="C32:D32"/>
    <mergeCell ref="C43:D43"/>
    <mergeCell ref="C44:D44"/>
    <mergeCell ref="C28:D28"/>
    <mergeCell ref="C29:D29"/>
    <mergeCell ref="C30:D30"/>
    <mergeCell ref="C31:D31"/>
    <mergeCell ref="C23:D23"/>
    <mergeCell ref="C24:D24"/>
    <mergeCell ref="C25:D25"/>
    <mergeCell ref="C26:D26"/>
    <mergeCell ref="C18:D18"/>
    <mergeCell ref="C19:D19"/>
    <mergeCell ref="C20:D20"/>
    <mergeCell ref="C21:D21"/>
    <mergeCell ref="C14:D14"/>
    <mergeCell ref="C15:D15"/>
    <mergeCell ref="C16:D16"/>
    <mergeCell ref="C17:D17"/>
    <mergeCell ref="A7:C7"/>
    <mergeCell ref="A8:C8"/>
    <mergeCell ref="A9:C9"/>
    <mergeCell ref="C12:D12"/>
    <mergeCell ref="F1:G1"/>
    <mergeCell ref="A3:G3"/>
    <mergeCell ref="D4:E4"/>
    <mergeCell ref="A5:F5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12" sqref="G12"/>
    </sheetView>
  </sheetViews>
  <sheetFormatPr defaultColWidth="9.140625" defaultRowHeight="12.75"/>
  <cols>
    <col min="1" max="1" width="11.421875" style="28" customWidth="1"/>
    <col min="2" max="2" width="9.00390625" style="28" customWidth="1"/>
    <col min="3" max="3" width="18.00390625" style="28" customWidth="1"/>
    <col min="4" max="4" width="12.8515625" style="28" customWidth="1"/>
    <col min="5" max="5" width="10.7109375" style="28" customWidth="1"/>
    <col min="6" max="6" width="12.421875" style="28" customWidth="1"/>
    <col min="7" max="7" width="16.7109375" style="28" customWidth="1"/>
    <col min="8" max="16384" width="9.140625" style="28" customWidth="1"/>
  </cols>
  <sheetData>
    <row r="1" spans="6:7" ht="12.75">
      <c r="F1" s="85" t="s">
        <v>0</v>
      </c>
      <c r="G1" s="85"/>
    </row>
    <row r="2" spans="6:7" ht="12.75">
      <c r="F2" s="29"/>
      <c r="G2" s="31" t="s">
        <v>1023</v>
      </c>
    </row>
    <row r="3" spans="1:7" ht="12.75">
      <c r="A3" s="86" t="s">
        <v>1</v>
      </c>
      <c r="B3" s="86"/>
      <c r="C3" s="86"/>
      <c r="D3" s="86"/>
      <c r="E3" s="86"/>
      <c r="F3" s="86"/>
      <c r="G3" s="86"/>
    </row>
    <row r="4" spans="1:7" ht="36" customHeight="1">
      <c r="A4" s="30"/>
      <c r="B4" s="30"/>
      <c r="C4" s="30"/>
      <c r="D4" s="90" t="s">
        <v>895</v>
      </c>
      <c r="E4" s="90"/>
      <c r="F4" s="30"/>
      <c r="G4" s="30"/>
    </row>
    <row r="5" spans="1:6" ht="21.75" customHeight="1">
      <c r="A5" s="88" t="s">
        <v>742</v>
      </c>
      <c r="B5" s="88"/>
      <c r="C5" s="88"/>
      <c r="D5" s="88"/>
      <c r="E5" s="88"/>
      <c r="F5" s="88"/>
    </row>
    <row r="6" spans="1:7" ht="12.75">
      <c r="A6" s="31"/>
      <c r="B6" s="31"/>
      <c r="C6" s="31"/>
      <c r="D6" s="31" t="s">
        <v>20</v>
      </c>
      <c r="E6" s="31" t="s">
        <v>21</v>
      </c>
      <c r="F6" s="31" t="s">
        <v>22</v>
      </c>
      <c r="G6" s="31" t="s">
        <v>23</v>
      </c>
    </row>
    <row r="7" spans="1:7" ht="12.75">
      <c r="A7" s="87" t="s">
        <v>707</v>
      </c>
      <c r="B7" s="87"/>
      <c r="C7" s="87"/>
      <c r="D7" s="31">
        <v>2508</v>
      </c>
      <c r="E7" s="31">
        <v>472</v>
      </c>
      <c r="F7" s="31">
        <v>0</v>
      </c>
      <c r="G7" s="31">
        <f>SUM(D7:F7)</f>
        <v>2980</v>
      </c>
    </row>
    <row r="8" spans="1:7" ht="12.75">
      <c r="A8" s="87" t="s">
        <v>92</v>
      </c>
      <c r="B8" s="87"/>
      <c r="C8" s="87"/>
      <c r="D8" s="31">
        <v>104</v>
      </c>
      <c r="E8" s="31">
        <v>0</v>
      </c>
      <c r="F8" s="31">
        <v>0</v>
      </c>
      <c r="G8" s="31">
        <f>SUM(D8:F8)</f>
        <v>104</v>
      </c>
    </row>
    <row r="9" spans="1:7" ht="12.75">
      <c r="A9" s="87" t="s">
        <v>878</v>
      </c>
      <c r="B9" s="87"/>
      <c r="C9" s="87"/>
      <c r="D9" s="40">
        <f>D8/D7*100</f>
        <v>4.146730462519936</v>
      </c>
      <c r="E9" s="40">
        <f>E8/E7*100</f>
        <v>0</v>
      </c>
      <c r="F9" s="40">
        <v>0</v>
      </c>
      <c r="G9" s="40">
        <f>G8/G7*100</f>
        <v>3.48993288590604</v>
      </c>
    </row>
    <row r="10" spans="4:7" ht="15" customHeight="1">
      <c r="D10" s="31"/>
      <c r="E10" s="31"/>
      <c r="F10" s="31"/>
      <c r="G10" s="31"/>
    </row>
    <row r="11" ht="21.75" customHeight="1">
      <c r="A11" s="34" t="s">
        <v>754</v>
      </c>
    </row>
    <row r="12" spans="1:7" ht="25.5">
      <c r="A12" s="34"/>
      <c r="B12" s="30" t="s">
        <v>2</v>
      </c>
      <c r="C12" s="86" t="s">
        <v>3</v>
      </c>
      <c r="D12" s="86"/>
      <c r="E12" s="30" t="s">
        <v>4</v>
      </c>
      <c r="G12" s="43" t="s">
        <v>988</v>
      </c>
    </row>
    <row r="13" spans="1:7" ht="19.5" customHeight="1">
      <c r="A13" s="34"/>
      <c r="B13" s="29" t="s">
        <v>140</v>
      </c>
      <c r="C13" s="28" t="s">
        <v>171</v>
      </c>
      <c r="E13" s="29">
        <v>91</v>
      </c>
      <c r="G13" s="28" t="s">
        <v>37</v>
      </c>
    </row>
    <row r="14" spans="1:7" ht="19.5" customHeight="1">
      <c r="A14" s="34"/>
      <c r="B14" s="29" t="s">
        <v>97</v>
      </c>
      <c r="C14" s="28" t="s">
        <v>755</v>
      </c>
      <c r="E14" s="29">
        <v>13</v>
      </c>
      <c r="G14" s="28" t="s">
        <v>111</v>
      </c>
    </row>
    <row r="15" spans="3:5" ht="30.75" customHeight="1">
      <c r="C15" s="34" t="s">
        <v>23</v>
      </c>
      <c r="D15" s="34"/>
      <c r="E15" s="30">
        <f>SUM(E13:E14)</f>
        <v>104</v>
      </c>
    </row>
    <row r="16" ht="18.75" customHeight="1">
      <c r="A16" s="34" t="s">
        <v>756</v>
      </c>
    </row>
    <row r="17" spans="1:7" ht="40.5" customHeight="1">
      <c r="A17" s="43" t="s">
        <v>704</v>
      </c>
      <c r="B17" s="36"/>
      <c r="C17" s="47" t="s">
        <v>175</v>
      </c>
      <c r="D17" s="47" t="s">
        <v>78</v>
      </c>
      <c r="E17" s="47" t="s">
        <v>10</v>
      </c>
      <c r="F17" s="64" t="s">
        <v>716</v>
      </c>
      <c r="G17" s="47" t="s">
        <v>11</v>
      </c>
    </row>
    <row r="18" spans="1:7" ht="26.25" customHeight="1">
      <c r="A18" s="83" t="s">
        <v>1024</v>
      </c>
      <c r="B18" s="83"/>
      <c r="C18" s="29">
        <v>46</v>
      </c>
      <c r="D18" s="29">
        <v>0</v>
      </c>
      <c r="E18" s="29">
        <f>C18-D18</f>
        <v>46</v>
      </c>
      <c r="F18" s="29">
        <v>21.44</v>
      </c>
      <c r="G18" s="37">
        <v>39142</v>
      </c>
    </row>
    <row r="19" spans="1:7" ht="33" customHeight="1">
      <c r="A19" s="83" t="s">
        <v>1025</v>
      </c>
      <c r="B19" s="92"/>
      <c r="C19" s="92"/>
      <c r="D19" s="92"/>
      <c r="E19" s="92"/>
      <c r="F19" s="92"/>
      <c r="G19" s="92"/>
    </row>
    <row r="20" spans="1:6" ht="20.25" customHeight="1">
      <c r="A20" s="34" t="s">
        <v>741</v>
      </c>
      <c r="B20" s="34"/>
      <c r="C20" s="34"/>
      <c r="D20" s="34"/>
      <c r="E20" s="42" t="s">
        <v>134</v>
      </c>
      <c r="F20" s="34"/>
    </row>
    <row r="21" spans="1:7" ht="25.5" customHeight="1">
      <c r="A21" s="28" t="s">
        <v>757</v>
      </c>
      <c r="G21" s="48"/>
    </row>
    <row r="22" spans="1:7" ht="20.25" customHeight="1">
      <c r="A22" s="32" t="s">
        <v>44</v>
      </c>
      <c r="B22" s="28" t="s">
        <v>758</v>
      </c>
      <c r="G22" s="48"/>
    </row>
    <row r="23" spans="1:7" ht="18.75" customHeight="1">
      <c r="A23" s="32" t="s">
        <v>83</v>
      </c>
      <c r="B23" s="28" t="s">
        <v>979</v>
      </c>
      <c r="D23" s="28" t="s">
        <v>980</v>
      </c>
      <c r="G23" s="48"/>
    </row>
    <row r="24" spans="1:7" ht="20.25" customHeight="1">
      <c r="A24" s="32" t="s">
        <v>86</v>
      </c>
      <c r="B24" s="28" t="s">
        <v>759</v>
      </c>
      <c r="D24" s="28" t="s">
        <v>760</v>
      </c>
      <c r="G24" s="48"/>
    </row>
    <row r="25" ht="8.25" customHeight="1">
      <c r="G25" s="48"/>
    </row>
    <row r="26" spans="1:7" s="34" customFormat="1" ht="23.25" customHeight="1">
      <c r="A26" s="34" t="s">
        <v>951</v>
      </c>
      <c r="B26" s="7"/>
      <c r="C26" s="7"/>
      <c r="D26" s="7"/>
      <c r="E26" s="7"/>
      <c r="F26" s="7"/>
      <c r="G26" s="7"/>
    </row>
    <row r="27" spans="2:3" ht="19.5" customHeight="1">
      <c r="B27" s="35" t="s">
        <v>12</v>
      </c>
      <c r="C27" s="63" t="s">
        <v>90</v>
      </c>
    </row>
    <row r="28" spans="2:4" ht="12.75">
      <c r="B28" s="28" t="s">
        <v>901</v>
      </c>
      <c r="C28" s="29" t="s">
        <v>728</v>
      </c>
      <c r="D28" s="31"/>
    </row>
    <row r="29" spans="2:4" ht="12.75">
      <c r="B29" s="28" t="s">
        <v>957</v>
      </c>
      <c r="C29" s="29" t="s">
        <v>728</v>
      </c>
      <c r="D29" s="31"/>
    </row>
    <row r="30" spans="2:3" ht="12.75">
      <c r="B30" s="28" t="s">
        <v>985</v>
      </c>
      <c r="C30" s="29" t="s">
        <v>728</v>
      </c>
    </row>
    <row r="31" spans="2:3" ht="12.75">
      <c r="B31" s="28" t="s">
        <v>1019</v>
      </c>
      <c r="C31" s="29">
        <v>18</v>
      </c>
    </row>
  </sheetData>
  <mergeCells count="10">
    <mergeCell ref="A18:B18"/>
    <mergeCell ref="A19:G19"/>
    <mergeCell ref="F1:G1"/>
    <mergeCell ref="A3:G3"/>
    <mergeCell ref="D4:E4"/>
    <mergeCell ref="A5:F5"/>
    <mergeCell ref="A7:C7"/>
    <mergeCell ref="A8:C8"/>
    <mergeCell ref="A9:C9"/>
    <mergeCell ref="C12:D1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rail bhavan</dc:creator>
  <cp:keywords/>
  <dc:description/>
  <cp:lastModifiedBy>ak tyagi</cp:lastModifiedBy>
  <cp:lastPrinted>2005-08-25T09:50:41Z</cp:lastPrinted>
  <dcterms:created xsi:type="dcterms:W3CDTF">2001-03-21T00:45:53Z</dcterms:created>
  <dcterms:modified xsi:type="dcterms:W3CDTF">2006-07-12T11:11:37Z</dcterms:modified>
  <cp:category/>
  <cp:version/>
  <cp:contentType/>
  <cp:contentStatus/>
</cp:coreProperties>
</file>